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harts/chart1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ml.chartshapes+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0.xml" ContentType="application/vnd.openxmlformats-officedocument.drawingml.chartshapes+xml"/>
  <Override PartName="/xl/charts/chart1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1.xml" ContentType="application/vnd.openxmlformats-officedocument.drawingml.chartshapes+xml"/>
  <Override PartName="/xl/charts/chart20.xml" ContentType="application/vnd.openxmlformats-officedocument.drawingml.chart+xml"/>
  <Override PartName="/xl/theme/themeOverride1.xml" ContentType="application/vnd.openxmlformats-officedocument.themeOverride+xml"/>
  <Override PartName="/xl/drawings/drawing22.xml" ContentType="application/vnd.openxmlformats-officedocument.drawingml.chartshapes+xml"/>
  <Override PartName="/xl/charts/chart21.xml" ContentType="application/vnd.openxmlformats-officedocument.drawingml.chart+xml"/>
  <Override PartName="/xl/theme/themeOverride2.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22.xml" ContentType="application/vnd.openxmlformats-officedocument.drawingml.chart+xml"/>
  <Override PartName="/xl/charts/style6.xml" ContentType="application/vnd.ms-office.chartstyle+xml"/>
  <Override PartName="/xl/charts/colors6.xml" ContentType="application/vnd.ms-office.chartcolorstyle+xml"/>
  <Override PartName="/xl/charts/chart23.xml" ContentType="application/vnd.openxmlformats-officedocument.drawingml.chart+xml"/>
  <Override PartName="/xl/charts/style7.xml" ContentType="application/vnd.ms-office.chartstyle+xml"/>
  <Override PartName="/xl/charts/colors7.xml" ContentType="application/vnd.ms-office.chartcolorstyle+xml"/>
  <Override PartName="/xl/charts/chart24.xml" ContentType="application/vnd.openxmlformats-officedocument.drawingml.chart+xml"/>
  <Override PartName="/xl/charts/style8.xml" ContentType="application/vnd.ms-office.chartstyle+xml"/>
  <Override PartName="/xl/charts/colors8.xml" ContentType="application/vnd.ms-office.chartcolorstyle+xml"/>
  <Override PartName="/xl/charts/chart25.xml" ContentType="application/vnd.openxmlformats-officedocument.drawingml.chart+xml"/>
  <Override PartName="/xl/charts/style9.xml" ContentType="application/vnd.ms-office.chartstyle+xml"/>
  <Override PartName="/xl/charts/colors9.xml" ContentType="application/vnd.ms-office.chartcolorstyle+xml"/>
  <Override PartName="/xl/charts/chart26.xml" ContentType="application/vnd.openxmlformats-officedocument.drawingml.chart+xml"/>
  <Override PartName="/xl/charts/style10.xml" ContentType="application/vnd.ms-office.chartstyle+xml"/>
  <Override PartName="/xl/charts/colors10.xml" ContentType="application/vnd.ms-office.chartcolorstyle+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ml.chartshapes+xml"/>
  <Override PartName="/xl/charts/chart2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charts/chart3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7.xml" ContentType="application/vnd.openxmlformats-officedocument.drawingml.chartshapes+xml"/>
  <Override PartName="/xl/charts/chart3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3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0.xml" ContentType="application/vnd.openxmlformats-officedocument.drawingml.chartshapes+xml"/>
  <Override PartName="/xl/charts/chart3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3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3.xml" ContentType="application/vnd.openxmlformats-officedocument.drawingml.chartshapes+xml"/>
  <Override PartName="/xl/charts/chart3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4.xml" ContentType="application/vnd.openxmlformats-officedocument.drawingml.chartshapes+xml"/>
  <Override PartName="/xl/charts/chart3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5.xml" ContentType="application/vnd.openxmlformats-officedocument.drawingml.chartshapes+xml"/>
  <Override PartName="/xl/charts/chart3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6.xml" ContentType="application/vnd.openxmlformats-officedocument.drawingml.chartshapes+xml"/>
  <Override PartName="/xl/charts/chart3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7.xml" ContentType="application/vnd.openxmlformats-officedocument.drawingml.chartshapes+xml"/>
  <Override PartName="/xl/charts/chart3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4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0.xml" ContentType="application/vnd.openxmlformats-officedocument.drawingml.chartshapes+xml"/>
  <Override PartName="/xl/charts/chart41.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1.xml" ContentType="application/vnd.openxmlformats-officedocument.drawingml.chartshapes+xml"/>
  <Override PartName="/xl/charts/chart4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2.xml" ContentType="application/vnd.openxmlformats-officedocument.drawingml.chartshapes+xml"/>
  <Override PartName="/xl/charts/chart43.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3.xml" ContentType="application/vnd.openxmlformats-officedocument.drawingml.chartshapes+xml"/>
  <Override PartName="/xl/charts/chart4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4.xml" ContentType="application/vnd.openxmlformats-officedocument.drawingml.chartshapes+xml"/>
  <Override PartName="/xl/charts/chart45.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4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7.xml" ContentType="application/vnd.openxmlformats-officedocument.drawingml.chartshapes+xml"/>
  <Override PartName="/xl/charts/chart47.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48.xml" ContentType="application/vnd.openxmlformats-officedocument.drawingml.chartshapes+xml"/>
  <Override PartName="/xl/charts/chart4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49.xml" ContentType="application/vnd.openxmlformats-officedocument.drawingml.chartshapes+xml"/>
  <Override PartName="/xl/charts/chart49.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50.xml" ContentType="application/vnd.openxmlformats-officedocument.drawingml.chartshapes+xml"/>
  <Override PartName="/xl/charts/chart5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51.xml" ContentType="application/vnd.openxmlformats-officedocument.drawingml.chartshapes+xml"/>
  <Override PartName="/xl/charts/chart51.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5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4.xml" ContentType="application/vnd.openxmlformats-officedocument.drawingml.chartshapes+xml"/>
  <Override PartName="/xl/charts/chart53.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charts/chart5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7.xml" ContentType="application/vnd.openxmlformats-officedocument.drawingml.chartshapes+xml"/>
  <Override PartName="/xl/charts/chart55.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5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60.xml" ContentType="application/vnd.openxmlformats-officedocument.drawingml.chartshapes+xml"/>
  <Override PartName="/xl/drawings/drawing61.xml" ContentType="application/vnd.openxmlformats-officedocument.drawing+xml"/>
  <Override PartName="/xl/charts/chart57.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2.xml" ContentType="application/vnd.openxmlformats-officedocument.drawingml.chartshapes+xml"/>
  <Override PartName="/xl/charts/chart58.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3.xml" ContentType="application/vnd.openxmlformats-officedocument.drawingml.chartshapes+xml"/>
  <Override PartName="/xl/charts/chart59.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64.xml" ContentType="application/vnd.openxmlformats-officedocument.drawingml.chartshapes+xml"/>
  <Override PartName="/xl/charts/chart60.xml" ContentType="application/vnd.openxmlformats-officedocument.drawingml.chart+xml"/>
  <Override PartName="/xl/drawings/drawing65.xml" ContentType="application/vnd.openxmlformats-officedocument.drawingml.chartshapes+xml"/>
  <Override PartName="/xl/charts/chart61.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66.xml" ContentType="application/vnd.openxmlformats-officedocument.drawingml.chartshapes+xml"/>
  <Override PartName="/xl/drawings/drawing67.xml" ContentType="application/vnd.openxmlformats-officedocument.drawing+xml"/>
  <Override PartName="/xl/charts/chart62.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68.xml" ContentType="application/vnd.openxmlformats-officedocument.drawingml.chartshapes+xml"/>
  <Override PartName="/xl/charts/chart63.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69.xml" ContentType="application/vnd.openxmlformats-officedocument.drawingml.chartshapes+xml"/>
  <Override PartName="/xl/charts/chart64.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65.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2.xml" ContentType="application/vnd.openxmlformats-officedocument.drawingml.chartshapes+xml"/>
  <Override PartName="/xl/drawings/drawing73.xml" ContentType="application/vnd.openxmlformats-officedocument.drawing+xml"/>
  <Override PartName="/xl/charts/chart66.xml" ContentType="application/vnd.openxmlformats-officedocument.drawingml.chart+xml"/>
  <Override PartName="/xl/charts/style48.xml" ContentType="application/vnd.ms-office.chartstyle+xml"/>
  <Override PartName="/xl/charts/colors48.xml" ContentType="application/vnd.ms-office.chartcolorstyle+xml"/>
  <Override PartName="/xl/charts/chart67.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74.xml" ContentType="application/vnd.openxmlformats-officedocument.drawingml.chartshapes+xml"/>
  <Override PartName="/xl/charts/chart68.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75.xml" ContentType="application/vnd.openxmlformats-officedocument.drawingml.chartshapes+xml"/>
  <Override PartName="/xl/charts/chart69.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76.xml" ContentType="application/vnd.openxmlformats-officedocument.drawingml.chartshapes+xml"/>
  <Override PartName="/xl/charts/chart70.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77.xml" ContentType="application/vnd.openxmlformats-officedocument.drawing+xml"/>
  <Override PartName="/xl/charts/chart71.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78.xml" ContentType="application/vnd.openxmlformats-officedocument.drawingml.chartshapes+xml"/>
  <Override PartName="/xl/charts/chart72.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79.xml" ContentType="application/vnd.openxmlformats-officedocument.drawingml.chartshapes+xml"/>
  <Override PartName="/xl/charts/chart73.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80.xml" ContentType="application/vnd.openxmlformats-officedocument.drawingml.chartshapes+xml"/>
  <Override PartName="/xl/charts/chart74.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81.xml" ContentType="application/vnd.openxmlformats-officedocument.drawingml.chartshapes+xml"/>
  <Override PartName="/xl/charts/chart75.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82.xml" ContentType="application/vnd.openxmlformats-officedocument.drawingml.chartshapes+xml"/>
  <Override PartName="/xl/drawings/drawing83.xml" ContentType="application/vnd.openxmlformats-officedocument.drawing+xml"/>
  <Override PartName="/xl/charts/chart76.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84.xml" ContentType="application/vnd.openxmlformats-officedocument.drawingml.chartshapes+xml"/>
  <Override PartName="/xl/charts/chart77.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85.xml" ContentType="application/vnd.openxmlformats-officedocument.drawingml.chartshapes+xml"/>
  <Override PartName="/xl/charts/chart78.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86.xml" ContentType="application/vnd.openxmlformats-officedocument.drawingml.chartshapes+xml"/>
  <Override PartName="/xl/charts/chart79.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87.xml" ContentType="application/vnd.openxmlformats-officedocument.drawingml.chartshapes+xml"/>
  <Override PartName="/xl/charts/chart80.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88.xml" ContentType="application/vnd.openxmlformats-officedocument.drawingml.chartshapes+xml"/>
  <Override PartName="/xl/drawings/drawing89.xml" ContentType="application/vnd.openxmlformats-officedocument.drawing+xml"/>
  <Override PartName="/xl/charts/chart81.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90.xml" ContentType="application/vnd.openxmlformats-officedocument.drawingml.chartshapes+xml"/>
  <Override PartName="/xl/charts/chart82.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91.xml" ContentType="application/vnd.openxmlformats-officedocument.drawingml.chartshapes+xml"/>
  <Override PartName="/xl/charts/chart83.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9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bell2\Documents\Old\Files\Work\IP5\Stats Report\SR2022 (USPTO Editors)\Draft 4\"/>
    </mc:Choice>
  </mc:AlternateContent>
  <xr:revisionPtr revIDLastSave="0" documentId="13_ncr:1_{EB988C83-FEF8-47B6-B028-BCA591F5619B}" xr6:coauthVersionLast="47" xr6:coauthVersionMax="47" xr10:uidLastSave="{00000000-0000-0000-0000-000000000000}"/>
  <bookViews>
    <workbookView xWindow="19875" yWindow="0" windowWidth="31590" windowHeight="21120" tabRatio="830" xr2:uid="{A981CC29-AD09-485E-9EB3-52219078D530}"/>
  </bookViews>
  <sheets>
    <sheet name="Content" sheetId="2" r:id="rId1"/>
    <sheet name="Ch2. Patents-in-Force" sheetId="1" r:id="rId2"/>
    <sheet name="Ch2. Cross filings" sheetId="27" r:id="rId3"/>
    <sheet name="Ch2. Budget" sheetId="3" r:id="rId4"/>
    <sheet name="Ch2. Staff" sheetId="4" r:id="rId5"/>
    <sheet name="Ch2. Production figures" sheetId="5" r:id="rId6"/>
    <sheet name="Ch3. Patent filings" sheetId="6" r:id="rId7"/>
    <sheet name="Ch3. First filings" sheetId="7" r:id="rId8"/>
    <sheet name="Ch3. Patent applications" sheetId="8" r:id="rId9"/>
    <sheet name="Ch3. Demand for patent rights" sheetId="9" r:id="rId10"/>
    <sheet name="Ch3. Granted patents" sheetId="10" r:id="rId11"/>
    <sheet name="Ch3. Patent Families" sheetId="30" r:id="rId12"/>
    <sheet name="Ch3. IP5 Patent Families" sheetId="12" r:id="rId13"/>
    <sheet name="Ch4. Patent applications filed" sheetId="13" r:id="rId14"/>
    <sheet name="Ch4. Applications technology" sheetId="14" r:id="rId15"/>
    <sheet name="Ch4. Applications leading Tech" sheetId="15" r:id="rId16"/>
    <sheet name="Ch4. Granted Patents" sheetId="26" r:id="rId17"/>
    <sheet name="Ch4. Grants technology" sheetId="28" r:id="rId18"/>
    <sheet name="Ch4. Grants leading Tech" sheetId="31" r:id="rId19"/>
    <sheet name="Ch4. Maintenance" sheetId="25" r:id="rId20"/>
    <sheet name="Ch4. Procedures " sheetId="24" r:id="rId21"/>
    <sheet name="Ch5. PCT as filing route " sheetId="23" r:id="rId22"/>
    <sheet name="Ch5. PCT authorities" sheetId="20" r:id="rId23"/>
    <sheet name="Ch.6 Other Work" sheetId="22" r:id="rId24"/>
  </sheets>
  <externalReferences>
    <externalReference r:id="rId25"/>
  </externalReferences>
  <definedNames>
    <definedName name="_ftn1" localSheetId="20">'Ch4. Procedures '!#REF!</definedName>
    <definedName name="_ftn2" localSheetId="20">'Ch4. Procedures '!#REF!</definedName>
    <definedName name="_ftn3" localSheetId="20">'Ch4. Procedures '!#REF!</definedName>
    <definedName name="_ftn4" localSheetId="20">'Ch4. Procedures '!#REF!</definedName>
    <definedName name="_ftn5" localSheetId="20">'Ch4. Procedures '!#REF!</definedName>
    <definedName name="_ftnref1" localSheetId="20">'Ch4. Procedures '!#REF!</definedName>
    <definedName name="_ftnref2" localSheetId="20">'Ch4. Procedures '!#REF!</definedName>
    <definedName name="_ftnref3" localSheetId="20">'Ch4. Procedures '!#REF!</definedName>
    <definedName name="_ftnref4" localSheetId="20">'Ch4. Procedures '!#REF!</definedName>
    <definedName name="_ftnref5" localSheetId="20">'Ch4. Procedures '!#REF!</definedName>
    <definedName name="_xlnm.Print_Area" localSheetId="23">'Ch.6 Other Work'!$A$1:$R$22</definedName>
    <definedName name="_xlnm.Print_Area" localSheetId="19">'Ch4. Maintenance'!$A$1:$K$6</definedName>
    <definedName name="_xlnm.Print_Area" localSheetId="0">Content!$B$4:$B$52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0" i="8" l="1"/>
  <c r="L23" i="27" l="1"/>
  <c r="L22" i="27"/>
  <c r="L21" i="27"/>
  <c r="L20" i="27"/>
  <c r="L19" i="27"/>
  <c r="L18" i="27"/>
  <c r="L14" i="27"/>
  <c r="U113" i="9" l="1"/>
  <c r="U114" i="9" s="1"/>
  <c r="U95" i="9"/>
  <c r="U77" i="9"/>
  <c r="U59" i="9"/>
  <c r="U41" i="9"/>
  <c r="U23" i="9"/>
  <c r="U119" i="9"/>
  <c r="U114" i="8"/>
  <c r="U120" i="8"/>
  <c r="U119" i="8"/>
  <c r="U124" i="8"/>
  <c r="U125" i="8"/>
  <c r="U126" i="8"/>
  <c r="U127" i="8"/>
  <c r="U128" i="8"/>
  <c r="U129" i="8"/>
  <c r="U120" i="9" l="1"/>
  <c r="U103" i="8" l="1"/>
  <c r="S114" i="9"/>
  <c r="S113" i="9"/>
  <c r="U103" i="9"/>
  <c r="U96" i="9"/>
  <c r="U128" i="9" s="1"/>
  <c r="U78" i="9"/>
  <c r="U127" i="9" s="1"/>
  <c r="S67" i="9"/>
  <c r="U60" i="9"/>
  <c r="U126" i="9" s="1"/>
  <c r="U42" i="9"/>
  <c r="U125" i="9" s="1"/>
  <c r="U24" i="9"/>
  <c r="U124" i="9" s="1"/>
  <c r="AB56" i="10"/>
  <c r="AB49" i="10"/>
  <c r="AB42" i="10"/>
  <c r="AB35" i="10"/>
  <c r="AB14" i="10"/>
  <c r="AB28" i="10"/>
  <c r="AB21" i="10"/>
  <c r="CV151" i="15" l="1"/>
  <c r="CV154" i="15"/>
  <c r="CV155" i="15"/>
  <c r="CV158" i="15"/>
  <c r="CV150" i="15"/>
  <c r="CW99" i="15"/>
  <c r="CW100" i="15"/>
  <c r="CW101" i="15"/>
  <c r="CW102" i="15"/>
  <c r="CW103" i="15"/>
  <c r="CW104" i="15"/>
  <c r="CW105" i="15"/>
  <c r="CW106" i="15"/>
  <c r="CW107" i="15"/>
  <c r="CW108" i="15"/>
  <c r="CW109" i="15"/>
  <c r="CW110" i="15"/>
  <c r="CW111" i="15"/>
  <c r="CW112" i="15"/>
  <c r="CW113" i="15"/>
  <c r="CW114" i="15"/>
  <c r="CW115" i="15"/>
  <c r="CW116" i="15"/>
  <c r="CW117" i="15"/>
  <c r="CW118" i="15"/>
  <c r="CW119" i="15"/>
  <c r="CW120" i="15"/>
  <c r="CW121" i="15"/>
  <c r="CW122" i="15"/>
  <c r="CW123" i="15"/>
  <c r="CW124" i="15"/>
  <c r="CW125" i="15"/>
  <c r="CW126" i="15"/>
  <c r="CW127" i="15"/>
  <c r="CW128" i="15"/>
  <c r="CW129" i="15"/>
  <c r="CW130" i="15"/>
  <c r="CW131" i="15"/>
  <c r="CW132" i="15"/>
  <c r="CW98" i="15"/>
  <c r="CU103" i="15"/>
  <c r="CU98" i="15"/>
  <c r="CV149" i="15"/>
  <c r="CV97" i="15"/>
  <c r="CF165" i="15"/>
  <c r="CF163" i="15"/>
  <c r="CF162" i="15"/>
  <c r="CF161" i="15"/>
  <c r="CF157" i="15"/>
  <c r="CF153" i="15"/>
  <c r="CF152" i="15"/>
  <c r="CF151" i="15"/>
  <c r="CF124" i="15"/>
  <c r="CF125" i="15"/>
  <c r="CF127" i="15"/>
  <c r="CF128" i="15"/>
  <c r="CF130" i="15"/>
  <c r="CF131" i="15"/>
  <c r="CF117" i="15"/>
  <c r="CF118" i="15"/>
  <c r="CF119" i="15"/>
  <c r="CF121" i="15"/>
  <c r="CF122" i="15"/>
  <c r="CF111" i="15"/>
  <c r="CF114" i="15"/>
  <c r="CF115" i="15"/>
  <c r="CF116" i="15"/>
  <c r="CF109" i="15"/>
  <c r="CF108" i="15"/>
  <c r="CF106" i="15"/>
  <c r="CF105" i="15"/>
  <c r="CF102" i="15"/>
  <c r="CF100" i="15"/>
  <c r="CF99" i="15"/>
  <c r="BP106" i="15"/>
  <c r="BP108" i="15"/>
  <c r="BP109" i="15"/>
  <c r="BP111" i="15"/>
  <c r="BP114" i="15"/>
  <c r="BP115" i="15"/>
  <c r="BP117" i="15"/>
  <c r="BP118" i="15"/>
  <c r="BP119" i="15"/>
  <c r="BP120" i="15"/>
  <c r="BP121" i="15"/>
  <c r="BP122" i="15"/>
  <c r="BP123" i="15"/>
  <c r="BP124" i="15"/>
  <c r="BP125" i="15"/>
  <c r="BP127" i="15"/>
  <c r="BP128" i="15"/>
  <c r="BP130" i="15"/>
  <c r="BP131" i="15"/>
  <c r="BP102" i="15"/>
  <c r="BO102" i="15"/>
  <c r="BP100" i="15"/>
  <c r="AJ122" i="31"/>
  <c r="Y131" i="31" l="1"/>
  <c r="Y130" i="31"/>
  <c r="AK132" i="15"/>
  <c r="AK131" i="15"/>
  <c r="AK128" i="15"/>
  <c r="AK127" i="15"/>
  <c r="AK124" i="15"/>
  <c r="AK115" i="15"/>
  <c r="AK116" i="15"/>
  <c r="AK117" i="15"/>
  <c r="AK118" i="15"/>
  <c r="AK119" i="15"/>
  <c r="AK120" i="15"/>
  <c r="AK121" i="15"/>
  <c r="AK122" i="15"/>
  <c r="AK123" i="15"/>
  <c r="AK125" i="15"/>
  <c r="AK114" i="15"/>
  <c r="AK109" i="15"/>
  <c r="AK108" i="15"/>
  <c r="AK106" i="15"/>
  <c r="AK105" i="15"/>
  <c r="AK104" i="15"/>
  <c r="AK102" i="15"/>
  <c r="AK101" i="15"/>
  <c r="AK100" i="15"/>
  <c r="AK99" i="15"/>
  <c r="BU121" i="31" l="1"/>
  <c r="BU122" i="31"/>
  <c r="BU123" i="31"/>
  <c r="BU124" i="31"/>
  <c r="BU125" i="31"/>
  <c r="BU126" i="31"/>
  <c r="BU127" i="31"/>
  <c r="BU128" i="31"/>
  <c r="BU130" i="31"/>
  <c r="BU131" i="31"/>
  <c r="BU132" i="31"/>
  <c r="BU111" i="31"/>
  <c r="BU109" i="31"/>
  <c r="BU108" i="31"/>
  <c r="BT121" i="31"/>
  <c r="BU120" i="31"/>
  <c r="BU119" i="31"/>
  <c r="BU118" i="31"/>
  <c r="BU117" i="31"/>
  <c r="BU116" i="31"/>
  <c r="BU115" i="31"/>
  <c r="BU114" i="31"/>
  <c r="BU113" i="31"/>
  <c r="BU112" i="31"/>
  <c r="BU104" i="31"/>
  <c r="BU102" i="31"/>
  <c r="BI130" i="31"/>
  <c r="BI131" i="31"/>
  <c r="BI127" i="31"/>
  <c r="BI128" i="31"/>
  <c r="BI125" i="31"/>
  <c r="BI124" i="31"/>
  <c r="BI122" i="31"/>
  <c r="BI121" i="31"/>
  <c r="BI110" i="31"/>
  <c r="BI108" i="31"/>
  <c r="BI109" i="31"/>
  <c r="BI111" i="31"/>
  <c r="BI112" i="31"/>
  <c r="BI113" i="31"/>
  <c r="BI114" i="31"/>
  <c r="BI115" i="31"/>
  <c r="BI116" i="31"/>
  <c r="BI104" i="31"/>
  <c r="BI105" i="31"/>
  <c r="BI106" i="31"/>
  <c r="BI102" i="31"/>
  <c r="AW100" i="31"/>
  <c r="AW102" i="31"/>
  <c r="AW106" i="31"/>
  <c r="AW108" i="31"/>
  <c r="AW109" i="31"/>
  <c r="AW111" i="31"/>
  <c r="AW112" i="31"/>
  <c r="AW113" i="31"/>
  <c r="AW114" i="31"/>
  <c r="AW115" i="31"/>
  <c r="AW116" i="31"/>
  <c r="AW118" i="31"/>
  <c r="AW119" i="31"/>
  <c r="AW120" i="31"/>
  <c r="AW121" i="31"/>
  <c r="AW122" i="31"/>
  <c r="AW123" i="31"/>
  <c r="AW124" i="31"/>
  <c r="AW125" i="31"/>
  <c r="AW126" i="31"/>
  <c r="AW127" i="31"/>
  <c r="AW128" i="31"/>
  <c r="AW130" i="31"/>
  <c r="AW131" i="31"/>
  <c r="AK102" i="31"/>
  <c r="AK104" i="31"/>
  <c r="AK108" i="31"/>
  <c r="AK109" i="31"/>
  <c r="AK111" i="31"/>
  <c r="AK112" i="31"/>
  <c r="AK113" i="31"/>
  <c r="AK114" i="31"/>
  <c r="AK115" i="31"/>
  <c r="AK116" i="31"/>
  <c r="AK117" i="31"/>
  <c r="AK118" i="31"/>
  <c r="AK119" i="31"/>
  <c r="AK120" i="31"/>
  <c r="AK121" i="31"/>
  <c r="AK122" i="31"/>
  <c r="AK123" i="31"/>
  <c r="AK124" i="31"/>
  <c r="AK125" i="31"/>
  <c r="AK126" i="31"/>
  <c r="AK127" i="31"/>
  <c r="AK128" i="31"/>
  <c r="AK131" i="31"/>
  <c r="AK132" i="31"/>
  <c r="Y111" i="31"/>
  <c r="Y125" i="31"/>
  <c r="Y127" i="31"/>
  <c r="Y122" i="31"/>
  <c r="Y112" i="31"/>
  <c r="Y113" i="31"/>
  <c r="Y114" i="31"/>
  <c r="Y115" i="31"/>
  <c r="Y116" i="31"/>
  <c r="Y117" i="31"/>
  <c r="Y118" i="31"/>
  <c r="Y119" i="31"/>
  <c r="Y120" i="31"/>
  <c r="Y121" i="31"/>
  <c r="Y123" i="31"/>
  <c r="Y108" i="31"/>
  <c r="Y109" i="31"/>
  <c r="Y104" i="31"/>
  <c r="Y105" i="31"/>
  <c r="Y106" i="31"/>
  <c r="Y102" i="31"/>
  <c r="Y101" i="31"/>
  <c r="Y100" i="31"/>
  <c r="Y99" i="31"/>
  <c r="Q150" i="31"/>
  <c r="Q151" i="31" s="1"/>
  <c r="Q152" i="31" s="1"/>
  <c r="Q153" i="31" s="1"/>
  <c r="Q154" i="31" s="1"/>
  <c r="Q155" i="31" s="1"/>
  <c r="Q156" i="31" s="1"/>
  <c r="Q157" i="31" s="1"/>
  <c r="Q158" i="31" s="1"/>
  <c r="Q159" i="31" s="1"/>
  <c r="Q160" i="31" s="1"/>
  <c r="Q161" i="31" s="1"/>
  <c r="Q162" i="31" s="1"/>
  <c r="Q163" i="31" s="1"/>
  <c r="Q164" i="31" s="1"/>
  <c r="Q165" i="31" s="1"/>
  <c r="Q166" i="31" s="1"/>
  <c r="Q167" i="31" s="1"/>
  <c r="Q168" i="31" s="1"/>
  <c r="Q169" i="31" s="1"/>
  <c r="Q170" i="31" s="1"/>
  <c r="Q171" i="31" s="1"/>
  <c r="Q172" i="31" s="1"/>
  <c r="Q173" i="31" s="1"/>
  <c r="Q174" i="31" s="1"/>
  <c r="Q175" i="31" s="1"/>
  <c r="Q176" i="31" s="1"/>
  <c r="BN149" i="31"/>
  <c r="BB149" i="31"/>
  <c r="AP149" i="31"/>
  <c r="AD149" i="31"/>
  <c r="R149" i="31"/>
  <c r="BT132" i="31"/>
  <c r="BS132" i="31"/>
  <c r="BR132" i="31"/>
  <c r="BQ132" i="31"/>
  <c r="BP132" i="31"/>
  <c r="BO132" i="31"/>
  <c r="BV132" i="31" s="1"/>
  <c r="AI132" i="31"/>
  <c r="X132" i="31"/>
  <c r="U132" i="31"/>
  <c r="BT131" i="31"/>
  <c r="BS131" i="31"/>
  <c r="BR131" i="31"/>
  <c r="BQ131" i="31"/>
  <c r="BP131" i="31"/>
  <c r="BO131" i="31"/>
  <c r="BV131" i="31" s="1"/>
  <c r="BH131" i="31"/>
  <c r="BG131" i="31"/>
  <c r="BF131" i="31"/>
  <c r="BE131" i="31"/>
  <c r="BD131" i="31"/>
  <c r="BC131" i="31"/>
  <c r="AV131" i="31"/>
  <c r="AU131" i="31"/>
  <c r="AT131" i="31"/>
  <c r="AS131" i="31"/>
  <c r="AR131" i="31"/>
  <c r="AQ131" i="31"/>
  <c r="AJ131" i="31"/>
  <c r="AI131" i="31"/>
  <c r="AH131" i="31"/>
  <c r="AG131" i="31"/>
  <c r="AF131" i="31"/>
  <c r="AE131" i="31"/>
  <c r="X131" i="31"/>
  <c r="W131" i="31"/>
  <c r="V131" i="31"/>
  <c r="U131" i="31"/>
  <c r="T131" i="31"/>
  <c r="S131" i="31"/>
  <c r="BT130" i="31"/>
  <c r="BS130" i="31"/>
  <c r="BR130" i="31"/>
  <c r="BQ130" i="31"/>
  <c r="BP130" i="31"/>
  <c r="BO130" i="31"/>
  <c r="BV130" i="31" s="1"/>
  <c r="BH130" i="31"/>
  <c r="BG130" i="31"/>
  <c r="BF130" i="31"/>
  <c r="BE130" i="31"/>
  <c r="BD130" i="31"/>
  <c r="BC130" i="31"/>
  <c r="AV130" i="31"/>
  <c r="AU130" i="31"/>
  <c r="AT130" i="31"/>
  <c r="AS130" i="31"/>
  <c r="AR130" i="31"/>
  <c r="AQ130" i="31"/>
  <c r="X130" i="31"/>
  <c r="W130" i="31"/>
  <c r="V130" i="31"/>
  <c r="U130" i="31"/>
  <c r="T130" i="31"/>
  <c r="S130" i="31"/>
  <c r="BT128" i="31"/>
  <c r="BS128" i="31"/>
  <c r="BV128" i="31" s="1"/>
  <c r="BR128" i="31"/>
  <c r="BQ128" i="31"/>
  <c r="BP128" i="31"/>
  <c r="BO128" i="31"/>
  <c r="BH128" i="31"/>
  <c r="BG128" i="31"/>
  <c r="BF128" i="31"/>
  <c r="BE128" i="31"/>
  <c r="BD128" i="31"/>
  <c r="BC128" i="31"/>
  <c r="AV128" i="31"/>
  <c r="AU128" i="31"/>
  <c r="AT128" i="31"/>
  <c r="AS128" i="31"/>
  <c r="AR128" i="31"/>
  <c r="AQ128" i="31"/>
  <c r="AJ128" i="31"/>
  <c r="AI128" i="31"/>
  <c r="AH128" i="31"/>
  <c r="AG128" i="31"/>
  <c r="AF128" i="31"/>
  <c r="AE128" i="31"/>
  <c r="V128" i="31"/>
  <c r="U128" i="31"/>
  <c r="T128" i="31"/>
  <c r="S128" i="31"/>
  <c r="BT127" i="31"/>
  <c r="BS127" i="31"/>
  <c r="BR127" i="31"/>
  <c r="BQ127" i="31"/>
  <c r="BP127" i="31"/>
  <c r="BV127" i="31" s="1"/>
  <c r="BO127" i="31"/>
  <c r="BH127" i="31"/>
  <c r="BG127" i="31"/>
  <c r="BF127" i="31"/>
  <c r="BE127" i="31"/>
  <c r="BD127" i="31"/>
  <c r="BC127" i="31"/>
  <c r="AV127" i="31"/>
  <c r="AU127" i="31"/>
  <c r="AT127" i="31"/>
  <c r="AS127" i="31"/>
  <c r="AR127" i="31"/>
  <c r="AQ127" i="31"/>
  <c r="AJ127" i="31"/>
  <c r="AI127" i="31"/>
  <c r="AH127" i="31"/>
  <c r="AG127" i="31"/>
  <c r="AF127" i="31"/>
  <c r="AE127" i="31"/>
  <c r="X127" i="31"/>
  <c r="W127" i="31"/>
  <c r="V127" i="31"/>
  <c r="U127" i="31"/>
  <c r="T127" i="31"/>
  <c r="S127" i="31"/>
  <c r="BT126" i="31"/>
  <c r="BS126" i="31"/>
  <c r="BR126" i="31"/>
  <c r="BQ126" i="31"/>
  <c r="BV126" i="31" s="1"/>
  <c r="BP126" i="31"/>
  <c r="BO126" i="31"/>
  <c r="BF126" i="31"/>
  <c r="BE126" i="31"/>
  <c r="AJ126" i="31"/>
  <c r="AI126" i="31"/>
  <c r="AH126" i="31"/>
  <c r="AG126" i="31"/>
  <c r="AF126" i="31"/>
  <c r="AE126" i="31"/>
  <c r="BT125" i="31"/>
  <c r="BS125" i="31"/>
  <c r="BR125" i="31"/>
  <c r="BQ125" i="31"/>
  <c r="BP125" i="31"/>
  <c r="BO125" i="31"/>
  <c r="BV125" i="31" s="1"/>
  <c r="BH125" i="31"/>
  <c r="BG125" i="31"/>
  <c r="BF125" i="31"/>
  <c r="BE125" i="31"/>
  <c r="BD125" i="31"/>
  <c r="BC125" i="31"/>
  <c r="AV125" i="31"/>
  <c r="AU125" i="31"/>
  <c r="AT125" i="31"/>
  <c r="AS125" i="31"/>
  <c r="AR125" i="31"/>
  <c r="AQ125" i="31"/>
  <c r="AJ125" i="31"/>
  <c r="AI125" i="31"/>
  <c r="AH125" i="31"/>
  <c r="AG125" i="31"/>
  <c r="AF125" i="31"/>
  <c r="AE125" i="31"/>
  <c r="X125" i="31"/>
  <c r="W125" i="31"/>
  <c r="V125" i="31"/>
  <c r="U125" i="31"/>
  <c r="T125" i="31"/>
  <c r="S125" i="31"/>
  <c r="BT124" i="31"/>
  <c r="BS124" i="31"/>
  <c r="BR124" i="31"/>
  <c r="BQ124" i="31"/>
  <c r="BP124" i="31"/>
  <c r="BV124" i="31" s="1"/>
  <c r="BO124" i="31"/>
  <c r="BH124" i="31"/>
  <c r="BG124" i="31"/>
  <c r="BF124" i="31"/>
  <c r="BE124" i="31"/>
  <c r="BD124" i="31"/>
  <c r="BC124" i="31"/>
  <c r="AV124" i="31"/>
  <c r="AU124" i="31"/>
  <c r="AT124" i="31"/>
  <c r="AS124" i="31"/>
  <c r="AR124" i="31"/>
  <c r="AQ124" i="31"/>
  <c r="AJ124" i="31"/>
  <c r="AI124" i="31"/>
  <c r="AH124" i="31"/>
  <c r="AG124" i="31"/>
  <c r="AF124" i="31"/>
  <c r="AE124" i="31"/>
  <c r="BT123" i="31"/>
  <c r="BS123" i="31"/>
  <c r="BR123" i="31"/>
  <c r="BQ123" i="31"/>
  <c r="BP123" i="31"/>
  <c r="BO123" i="31"/>
  <c r="BV123" i="31" s="1"/>
  <c r="AV123" i="31"/>
  <c r="AU123" i="31"/>
  <c r="AT123" i="31"/>
  <c r="AS123" i="31"/>
  <c r="AR123" i="31"/>
  <c r="AQ123" i="31"/>
  <c r="AJ123" i="31"/>
  <c r="AI123" i="31"/>
  <c r="AH123" i="31"/>
  <c r="AG123" i="31"/>
  <c r="AF123" i="31"/>
  <c r="AE123" i="31"/>
  <c r="X123" i="31"/>
  <c r="W123" i="31"/>
  <c r="V123" i="31"/>
  <c r="U123" i="31"/>
  <c r="T123" i="31"/>
  <c r="S123" i="31"/>
  <c r="BT122" i="31"/>
  <c r="BS122" i="31"/>
  <c r="BR122" i="31"/>
  <c r="BQ122" i="31"/>
  <c r="BP122" i="31"/>
  <c r="BO122" i="31"/>
  <c r="BV122" i="31" s="1"/>
  <c r="BH122" i="31"/>
  <c r="BG122" i="31"/>
  <c r="BF122" i="31"/>
  <c r="AV122" i="31"/>
  <c r="AU122" i="31"/>
  <c r="AT122" i="31"/>
  <c r="AS122" i="31"/>
  <c r="AR122" i="31"/>
  <c r="AQ122" i="31"/>
  <c r="AH122" i="31"/>
  <c r="AG122" i="31"/>
  <c r="AF122" i="31"/>
  <c r="AE122" i="31"/>
  <c r="X122" i="31"/>
  <c r="W122" i="31"/>
  <c r="V122" i="31"/>
  <c r="U122" i="31"/>
  <c r="T122" i="31"/>
  <c r="S122" i="31"/>
  <c r="BS121" i="31"/>
  <c r="BR121" i="31"/>
  <c r="BQ121" i="31"/>
  <c r="BP121" i="31"/>
  <c r="BO121" i="31"/>
  <c r="BV121" i="31" s="1"/>
  <c r="BH121" i="31"/>
  <c r="BG121" i="31"/>
  <c r="BF121" i="31"/>
  <c r="BE121" i="31"/>
  <c r="BD121" i="31"/>
  <c r="BC121" i="31"/>
  <c r="AV121" i="31"/>
  <c r="AU121" i="31"/>
  <c r="AT121" i="31"/>
  <c r="AS121" i="31"/>
  <c r="AR121" i="31"/>
  <c r="AQ121" i="31"/>
  <c r="AJ121" i="31"/>
  <c r="AI121" i="31"/>
  <c r="AH121" i="31"/>
  <c r="AG121" i="31"/>
  <c r="AF121" i="31"/>
  <c r="AE121" i="31"/>
  <c r="X121" i="31"/>
  <c r="W121" i="31"/>
  <c r="V121" i="31"/>
  <c r="U121" i="31"/>
  <c r="T121" i="31"/>
  <c r="S121" i="31"/>
  <c r="BT120" i="31"/>
  <c r="BS120" i="31"/>
  <c r="BR120" i="31"/>
  <c r="BQ120" i="31"/>
  <c r="BP120" i="31"/>
  <c r="BO120" i="31"/>
  <c r="BV120" i="31" s="1"/>
  <c r="BD120" i="31"/>
  <c r="BC120" i="31"/>
  <c r="AV120" i="31"/>
  <c r="AU120" i="31"/>
  <c r="AT120" i="31"/>
  <c r="AS120" i="31"/>
  <c r="AR120" i="31"/>
  <c r="AQ120" i="31"/>
  <c r="AJ120" i="31"/>
  <c r="AI120" i="31"/>
  <c r="AH120" i="31"/>
  <c r="AG120" i="31"/>
  <c r="AF120" i="31"/>
  <c r="AE120" i="31"/>
  <c r="X120" i="31"/>
  <c r="W120" i="31"/>
  <c r="V120" i="31"/>
  <c r="U120" i="31"/>
  <c r="T120" i="31"/>
  <c r="S120" i="31"/>
  <c r="BT119" i="31"/>
  <c r="BS119" i="31"/>
  <c r="BR119" i="31"/>
  <c r="BQ119" i="31"/>
  <c r="BP119" i="31"/>
  <c r="BO119" i="31"/>
  <c r="BV119" i="31" s="1"/>
  <c r="BH119" i="31"/>
  <c r="BG119" i="31"/>
  <c r="BF119" i="31"/>
  <c r="BE119" i="31"/>
  <c r="BD119" i="31"/>
  <c r="BC119" i="31"/>
  <c r="AV119" i="31"/>
  <c r="AU119" i="31"/>
  <c r="AT119" i="31"/>
  <c r="AS119" i="31"/>
  <c r="AR119" i="31"/>
  <c r="AQ119" i="31"/>
  <c r="AJ119" i="31"/>
  <c r="AI119" i="31"/>
  <c r="AH119" i="31"/>
  <c r="AG119" i="31"/>
  <c r="AF119" i="31"/>
  <c r="AE119" i="31"/>
  <c r="X119" i="31"/>
  <c r="W119" i="31"/>
  <c r="V119" i="31"/>
  <c r="U119" i="31"/>
  <c r="T119" i="31"/>
  <c r="S119" i="31"/>
  <c r="BI119" i="31" s="1"/>
  <c r="BT118" i="31"/>
  <c r="BS118" i="31"/>
  <c r="BR118" i="31"/>
  <c r="BQ118" i="31"/>
  <c r="BP118" i="31"/>
  <c r="BO118" i="31"/>
  <c r="BV118" i="31" s="1"/>
  <c r="BH118" i="31"/>
  <c r="BG118" i="31"/>
  <c r="BF118" i="31"/>
  <c r="BE118" i="31"/>
  <c r="BD118" i="31"/>
  <c r="BC118" i="31"/>
  <c r="AV118" i="31"/>
  <c r="AU118" i="31"/>
  <c r="AT118" i="31"/>
  <c r="AS118" i="31"/>
  <c r="AR118" i="31"/>
  <c r="AQ118" i="31"/>
  <c r="AJ118" i="31"/>
  <c r="AI118" i="31"/>
  <c r="AH118" i="31"/>
  <c r="AG118" i="31"/>
  <c r="AF118" i="31"/>
  <c r="AE118" i="31"/>
  <c r="X118" i="31"/>
  <c r="W118" i="31"/>
  <c r="V118" i="31"/>
  <c r="U118" i="31"/>
  <c r="T118" i="31"/>
  <c r="S118" i="31"/>
  <c r="BI118" i="31" s="1"/>
  <c r="BT117" i="31"/>
  <c r="BS117" i="31"/>
  <c r="BR117" i="31"/>
  <c r="BQ117" i="31"/>
  <c r="BP117" i="31"/>
  <c r="BO117" i="31"/>
  <c r="BV117" i="31" s="1"/>
  <c r="AV117" i="31"/>
  <c r="AU117" i="31"/>
  <c r="AT117" i="31"/>
  <c r="AS117" i="31"/>
  <c r="AR117" i="31"/>
  <c r="AQ117" i="31"/>
  <c r="AJ117" i="31"/>
  <c r="AI117" i="31"/>
  <c r="AH117" i="31"/>
  <c r="AG117" i="31"/>
  <c r="AF117" i="31"/>
  <c r="AE117" i="31"/>
  <c r="X117" i="31"/>
  <c r="W117" i="31"/>
  <c r="V117" i="31"/>
  <c r="U117" i="31"/>
  <c r="T117" i="31"/>
  <c r="S117" i="31"/>
  <c r="BT116" i="31"/>
  <c r="BS116" i="31"/>
  <c r="BR116" i="31"/>
  <c r="BQ116" i="31"/>
  <c r="BP116" i="31"/>
  <c r="BO116" i="31"/>
  <c r="BV116" i="31" s="1"/>
  <c r="BH116" i="31"/>
  <c r="BG116" i="31"/>
  <c r="BF116" i="31"/>
  <c r="BE116" i="31"/>
  <c r="BD116" i="31"/>
  <c r="BC116" i="31"/>
  <c r="AV116" i="31"/>
  <c r="AU116" i="31"/>
  <c r="AT116" i="31"/>
  <c r="AS116" i="31"/>
  <c r="AR116" i="31"/>
  <c r="AQ116" i="31"/>
  <c r="AJ116" i="31"/>
  <c r="AI116" i="31"/>
  <c r="AH116" i="31"/>
  <c r="AG116" i="31"/>
  <c r="AF116" i="31"/>
  <c r="AE116" i="31"/>
  <c r="X116" i="31"/>
  <c r="W116" i="31"/>
  <c r="V116" i="31"/>
  <c r="U116" i="31"/>
  <c r="T116" i="31"/>
  <c r="S116" i="31"/>
  <c r="BT115" i="31"/>
  <c r="BS115" i="31"/>
  <c r="BR115" i="31"/>
  <c r="BQ115" i="31"/>
  <c r="BP115" i="31"/>
  <c r="BO115" i="31"/>
  <c r="BV115" i="31" s="1"/>
  <c r="BH115" i="31"/>
  <c r="BG115" i="31"/>
  <c r="BF115" i="31"/>
  <c r="BE115" i="31"/>
  <c r="BD115" i="31"/>
  <c r="BC115" i="31"/>
  <c r="AV115" i="31"/>
  <c r="AU115" i="31"/>
  <c r="AT115" i="31"/>
  <c r="AS115" i="31"/>
  <c r="AR115" i="31"/>
  <c r="AQ115" i="31"/>
  <c r="AJ115" i="31"/>
  <c r="AI115" i="31"/>
  <c r="AH115" i="31"/>
  <c r="AG115" i="31"/>
  <c r="AF115" i="31"/>
  <c r="AE115" i="31"/>
  <c r="X115" i="31"/>
  <c r="W115" i="31"/>
  <c r="V115" i="31"/>
  <c r="U115" i="31"/>
  <c r="T115" i="31"/>
  <c r="S115" i="31"/>
  <c r="BT114" i="31"/>
  <c r="BS114" i="31"/>
  <c r="BR114" i="31"/>
  <c r="BQ114" i="31"/>
  <c r="BP114" i="31"/>
  <c r="BO114" i="31"/>
  <c r="BV114" i="31" s="1"/>
  <c r="BH114" i="31"/>
  <c r="BG114" i="31"/>
  <c r="BF114" i="31"/>
  <c r="BE114" i="31"/>
  <c r="BD114" i="31"/>
  <c r="BC114" i="31"/>
  <c r="AV114" i="31"/>
  <c r="AU114" i="31"/>
  <c r="AT114" i="31"/>
  <c r="AS114" i="31"/>
  <c r="AR114" i="31"/>
  <c r="AQ114" i="31"/>
  <c r="AJ114" i="31"/>
  <c r="AI114" i="31"/>
  <c r="AH114" i="31"/>
  <c r="AG114" i="31"/>
  <c r="AF114" i="31"/>
  <c r="AE114" i="31"/>
  <c r="X114" i="31"/>
  <c r="W114" i="31"/>
  <c r="V114" i="31"/>
  <c r="U114" i="31"/>
  <c r="T114" i="31"/>
  <c r="S114" i="31"/>
  <c r="BT113" i="31"/>
  <c r="BS113" i="31"/>
  <c r="BR113" i="31"/>
  <c r="BQ113" i="31"/>
  <c r="BP113" i="31"/>
  <c r="BO113" i="31"/>
  <c r="BV113" i="31" s="1"/>
  <c r="BH113" i="31"/>
  <c r="BG113" i="31"/>
  <c r="BF113" i="31"/>
  <c r="BE113" i="31"/>
  <c r="BD113" i="31"/>
  <c r="BC113" i="31"/>
  <c r="AV113" i="31"/>
  <c r="AU113" i="31"/>
  <c r="AT113" i="31"/>
  <c r="AS113" i="31"/>
  <c r="AR113" i="31"/>
  <c r="AQ113" i="31"/>
  <c r="AJ113" i="31"/>
  <c r="AI113" i="31"/>
  <c r="AH113" i="31"/>
  <c r="AG113" i="31"/>
  <c r="AF113" i="31"/>
  <c r="AE113" i="31"/>
  <c r="X113" i="31"/>
  <c r="W113" i="31"/>
  <c r="V113" i="31"/>
  <c r="U113" i="31"/>
  <c r="T113" i="31"/>
  <c r="S113" i="31"/>
  <c r="BT112" i="31"/>
  <c r="BS112" i="31"/>
  <c r="BR112" i="31"/>
  <c r="BQ112" i="31"/>
  <c r="BP112" i="31"/>
  <c r="BO112" i="31"/>
  <c r="BV112" i="31" s="1"/>
  <c r="BH112" i="31"/>
  <c r="BG112" i="31"/>
  <c r="BF112" i="31"/>
  <c r="BE112" i="31"/>
  <c r="BD112" i="31"/>
  <c r="BC112" i="31"/>
  <c r="AV112" i="31"/>
  <c r="AU112" i="31"/>
  <c r="AT112" i="31"/>
  <c r="AS112" i="31"/>
  <c r="AR112" i="31"/>
  <c r="AQ112" i="31"/>
  <c r="AJ112" i="31"/>
  <c r="AI112" i="31"/>
  <c r="AH112" i="31"/>
  <c r="AG112" i="31"/>
  <c r="AF112" i="31"/>
  <c r="AE112" i="31"/>
  <c r="X112" i="31"/>
  <c r="W112" i="31"/>
  <c r="V112" i="31"/>
  <c r="U112" i="31"/>
  <c r="T112" i="31"/>
  <c r="S112" i="31"/>
  <c r="BT111" i="31"/>
  <c r="BS111" i="31"/>
  <c r="BR111" i="31"/>
  <c r="BQ111" i="31"/>
  <c r="BP111" i="31"/>
  <c r="BO111" i="31"/>
  <c r="BV111" i="31" s="1"/>
  <c r="BH111" i="31"/>
  <c r="BG111" i="31"/>
  <c r="BF111" i="31"/>
  <c r="BE111" i="31"/>
  <c r="BD111" i="31"/>
  <c r="BC111" i="31"/>
  <c r="AV111" i="31"/>
  <c r="AU111" i="31"/>
  <c r="AT111" i="31"/>
  <c r="AS111" i="31"/>
  <c r="AR111" i="31"/>
  <c r="AQ111" i="31"/>
  <c r="AJ111" i="31"/>
  <c r="AI111" i="31"/>
  <c r="AH111" i="31"/>
  <c r="AG111" i="31"/>
  <c r="AF111" i="31"/>
  <c r="AE111" i="31"/>
  <c r="W111" i="31"/>
  <c r="V111" i="31"/>
  <c r="BH110" i="31"/>
  <c r="BG110" i="31"/>
  <c r="BF110" i="31"/>
  <c r="BE110" i="31"/>
  <c r="BD110" i="31"/>
  <c r="BC110" i="31"/>
  <c r="T110" i="31"/>
  <c r="S110" i="31"/>
  <c r="BT109" i="31"/>
  <c r="BS109" i="31"/>
  <c r="BR109" i="31"/>
  <c r="BV109" i="31" s="1"/>
  <c r="BQ109" i="31"/>
  <c r="BP109" i="31"/>
  <c r="BO109" i="31"/>
  <c r="BH109" i="31"/>
  <c r="BG109" i="31"/>
  <c r="BF109" i="31"/>
  <c r="BE109" i="31"/>
  <c r="BD109" i="31"/>
  <c r="BC109" i="31"/>
  <c r="AV109" i="31"/>
  <c r="AU109" i="31"/>
  <c r="AT109" i="31"/>
  <c r="AS109" i="31"/>
  <c r="AR109" i="31"/>
  <c r="AQ109" i="31"/>
  <c r="AJ109" i="31"/>
  <c r="AI109" i="31"/>
  <c r="AH109" i="31"/>
  <c r="AG109" i="31"/>
  <c r="AF109" i="31"/>
  <c r="AE109" i="31"/>
  <c r="X109" i="31"/>
  <c r="W109" i="31"/>
  <c r="V109" i="31"/>
  <c r="U109" i="31"/>
  <c r="T109" i="31"/>
  <c r="S109" i="31"/>
  <c r="BT108" i="31"/>
  <c r="BS108" i="31"/>
  <c r="BR108" i="31"/>
  <c r="BQ108" i="31"/>
  <c r="BP108" i="31"/>
  <c r="BO108" i="31"/>
  <c r="BV108" i="31" s="1"/>
  <c r="BH108" i="31"/>
  <c r="BG108" i="31"/>
  <c r="BF108" i="31"/>
  <c r="BE108" i="31"/>
  <c r="BD108" i="31"/>
  <c r="BC108" i="31"/>
  <c r="AV108" i="31"/>
  <c r="AU108" i="31"/>
  <c r="AT108" i="31"/>
  <c r="AS108" i="31"/>
  <c r="AR108" i="31"/>
  <c r="AQ108" i="31"/>
  <c r="AJ108" i="31"/>
  <c r="AI108" i="31"/>
  <c r="AH108" i="31"/>
  <c r="AG108" i="31"/>
  <c r="AF108" i="31"/>
  <c r="AE108" i="31"/>
  <c r="X108" i="31"/>
  <c r="W108" i="31"/>
  <c r="V108" i="31"/>
  <c r="U108" i="31"/>
  <c r="T108" i="31"/>
  <c r="S108" i="31"/>
  <c r="BH106" i="31"/>
  <c r="BG106" i="31"/>
  <c r="BF106" i="31"/>
  <c r="BE106" i="31"/>
  <c r="BD106" i="31"/>
  <c r="BC106" i="31"/>
  <c r="AV106" i="31"/>
  <c r="AU106" i="31"/>
  <c r="AT106" i="31"/>
  <c r="AR106" i="31"/>
  <c r="AQ106" i="31"/>
  <c r="X106" i="31"/>
  <c r="W106" i="31"/>
  <c r="V106" i="31"/>
  <c r="U106" i="31"/>
  <c r="T106" i="31"/>
  <c r="S106" i="31"/>
  <c r="BH105" i="31"/>
  <c r="BG105" i="31"/>
  <c r="BF105" i="31"/>
  <c r="BE105" i="31"/>
  <c r="BD105" i="31"/>
  <c r="BC105" i="31"/>
  <c r="X105" i="31"/>
  <c r="W105" i="31"/>
  <c r="V105" i="31"/>
  <c r="U105" i="31"/>
  <c r="T105" i="31"/>
  <c r="S105" i="31"/>
  <c r="BT104" i="31"/>
  <c r="BS104" i="31"/>
  <c r="BR104" i="31"/>
  <c r="BQ104" i="31"/>
  <c r="BP104" i="31"/>
  <c r="BO104" i="31"/>
  <c r="BV104" i="31" s="1"/>
  <c r="BH104" i="31"/>
  <c r="BG104" i="31"/>
  <c r="BF104" i="31"/>
  <c r="BE104" i="31"/>
  <c r="BD104" i="31"/>
  <c r="BC104" i="31"/>
  <c r="AU104" i="31"/>
  <c r="AT104" i="31"/>
  <c r="AS104" i="31"/>
  <c r="AR104" i="31"/>
  <c r="AQ104" i="31"/>
  <c r="AJ104" i="31"/>
  <c r="AI104" i="31"/>
  <c r="AH104" i="31"/>
  <c r="AG104" i="31"/>
  <c r="AF104" i="31"/>
  <c r="AE104" i="31"/>
  <c r="X104" i="31"/>
  <c r="W104" i="31"/>
  <c r="V104" i="31"/>
  <c r="U104" i="31"/>
  <c r="T104" i="31"/>
  <c r="S104" i="31"/>
  <c r="BT102" i="31"/>
  <c r="BS102" i="31"/>
  <c r="BR102" i="31"/>
  <c r="BQ102" i="31"/>
  <c r="BP102" i="31"/>
  <c r="BO102" i="31"/>
  <c r="BV102" i="31" s="1"/>
  <c r="BH102" i="31"/>
  <c r="BG102" i="31"/>
  <c r="BF102" i="31"/>
  <c r="BE102" i="31"/>
  <c r="BD102" i="31"/>
  <c r="BC102" i="31"/>
  <c r="AV102" i="31"/>
  <c r="AU102" i="31"/>
  <c r="AT102" i="31"/>
  <c r="AS102" i="31"/>
  <c r="AR102" i="31"/>
  <c r="AQ102" i="31"/>
  <c r="AJ102" i="31"/>
  <c r="AI102" i="31"/>
  <c r="AH102" i="31"/>
  <c r="AG102" i="31"/>
  <c r="AF102" i="31"/>
  <c r="AE102" i="31"/>
  <c r="X102" i="31"/>
  <c r="W102" i="31"/>
  <c r="V102" i="31"/>
  <c r="U102" i="31"/>
  <c r="T102" i="31"/>
  <c r="S102" i="31"/>
  <c r="AJ101" i="31"/>
  <c r="AI101" i="31"/>
  <c r="AH101" i="31"/>
  <c r="AG101" i="31"/>
  <c r="AF101" i="31"/>
  <c r="AE101" i="31"/>
  <c r="X101" i="31"/>
  <c r="W101" i="31"/>
  <c r="V101" i="31"/>
  <c r="U101" i="31"/>
  <c r="BH100" i="31"/>
  <c r="BG100" i="31"/>
  <c r="BF100" i="31"/>
  <c r="BE100" i="31"/>
  <c r="BD100" i="31"/>
  <c r="BC100" i="31"/>
  <c r="AV100" i="31"/>
  <c r="AU100" i="31"/>
  <c r="AT100" i="31"/>
  <c r="AS100" i="31"/>
  <c r="AR100" i="31"/>
  <c r="AQ100" i="31"/>
  <c r="AJ100" i="31"/>
  <c r="AI100" i="31"/>
  <c r="AH100" i="31"/>
  <c r="AG100" i="31"/>
  <c r="AF100" i="31"/>
  <c r="AE100" i="31"/>
  <c r="X100" i="31"/>
  <c r="W100" i="31"/>
  <c r="T100" i="31"/>
  <c r="S100" i="31"/>
  <c r="AK100" i="31" s="1"/>
  <c r="BH99" i="31"/>
  <c r="BG99" i="31"/>
  <c r="BE99" i="31"/>
  <c r="BD99" i="31"/>
  <c r="BC99" i="31"/>
  <c r="AV99" i="31"/>
  <c r="AS99" i="31"/>
  <c r="X99" i="31"/>
  <c r="W99" i="31"/>
  <c r="V99" i="31"/>
  <c r="U99" i="31"/>
  <c r="T99" i="31"/>
  <c r="S99" i="31"/>
  <c r="BI99" i="31" s="1"/>
  <c r="Q99" i="31"/>
  <c r="S97" i="31"/>
  <c r="S149" i="31" s="1"/>
  <c r="S148" i="31" s="1"/>
  <c r="Q47" i="31"/>
  <c r="U110" i="31" s="1"/>
  <c r="E45" i="31"/>
  <c r="G45" i="31" s="1"/>
  <c r="I45" i="31" s="1"/>
  <c r="K45" i="31" s="1"/>
  <c r="M45" i="31" s="1"/>
  <c r="O45" i="31" s="1"/>
  <c r="BJ106" i="31" l="1"/>
  <c r="BJ118" i="31"/>
  <c r="BJ124" i="31"/>
  <c r="BJ128" i="31"/>
  <c r="AX111" i="31"/>
  <c r="BJ105" i="31"/>
  <c r="BJ104" i="31"/>
  <c r="BJ109" i="31"/>
  <c r="BK109" i="31" s="1"/>
  <c r="BL109" i="31" s="1"/>
  <c r="BJ102" i="31"/>
  <c r="BJ130" i="31"/>
  <c r="BJ112" i="31"/>
  <c r="BJ114" i="31"/>
  <c r="BK114" i="31" s="1"/>
  <c r="BL114" i="31" s="1"/>
  <c r="BJ116" i="31"/>
  <c r="BK116" i="31" s="1"/>
  <c r="BL116" i="31" s="1"/>
  <c r="BJ121" i="31"/>
  <c r="BK121" i="31" s="1"/>
  <c r="BL121" i="31" s="1"/>
  <c r="BJ125" i="31"/>
  <c r="BK125" i="31" s="1"/>
  <c r="BL125" i="31" s="1"/>
  <c r="BJ119" i="31"/>
  <c r="BK119" i="31" s="1"/>
  <c r="BL119" i="31" s="1"/>
  <c r="BJ108" i="31"/>
  <c r="BK108" i="31" s="1"/>
  <c r="BL108" i="31" s="1"/>
  <c r="BJ127" i="31"/>
  <c r="BK127" i="31" s="1"/>
  <c r="BL127" i="31" s="1"/>
  <c r="BJ131" i="31"/>
  <c r="BK131" i="31" s="1"/>
  <c r="BL131" i="31" s="1"/>
  <c r="BJ110" i="31"/>
  <c r="BK110" i="31" s="1"/>
  <c r="BL110" i="31" s="1"/>
  <c r="BJ111" i="31"/>
  <c r="BK111" i="31" s="1"/>
  <c r="BL111" i="31" s="1"/>
  <c r="BJ115" i="31"/>
  <c r="BK115" i="31" s="1"/>
  <c r="BL115" i="31" s="1"/>
  <c r="BJ113" i="31"/>
  <c r="AX122" i="31"/>
  <c r="AY122" i="31" s="1"/>
  <c r="AZ122" i="31" s="1"/>
  <c r="AX113" i="31"/>
  <c r="AY113" i="31" s="1"/>
  <c r="AZ113" i="31" s="1"/>
  <c r="AX102" i="31"/>
  <c r="AY102" i="31" s="1"/>
  <c r="AZ102" i="31" s="1"/>
  <c r="BI100" i="31"/>
  <c r="AX125" i="31"/>
  <c r="AX117" i="31"/>
  <c r="AX109" i="31"/>
  <c r="AY109" i="31" s="1"/>
  <c r="AZ109" i="31" s="1"/>
  <c r="AX119" i="31"/>
  <c r="AY119" i="31" s="1"/>
  <c r="AZ119" i="31" s="1"/>
  <c r="AX100" i="31"/>
  <c r="AY100" i="31" s="1"/>
  <c r="AZ100" i="31" s="1"/>
  <c r="AX108" i="31"/>
  <c r="AY108" i="31" s="1"/>
  <c r="AZ108" i="31" s="1"/>
  <c r="AX127" i="31"/>
  <c r="AY127" i="31" s="1"/>
  <c r="AZ127" i="31" s="1"/>
  <c r="AX131" i="31"/>
  <c r="AY131" i="31" s="1"/>
  <c r="AZ131" i="31" s="1"/>
  <c r="AX124" i="31"/>
  <c r="AY124" i="31" s="1"/>
  <c r="AZ124" i="31" s="1"/>
  <c r="AL112" i="31"/>
  <c r="AM112" i="31" s="1"/>
  <c r="AN112" i="31" s="1"/>
  <c r="AL114" i="31"/>
  <c r="AM114" i="31" s="1"/>
  <c r="AN114" i="31" s="1"/>
  <c r="AX115" i="31"/>
  <c r="AY115" i="31" s="1"/>
  <c r="AZ115" i="31" s="1"/>
  <c r="AL116" i="31"/>
  <c r="AM116" i="31" s="1"/>
  <c r="AN116" i="31" s="1"/>
  <c r="AX118" i="31"/>
  <c r="AY118" i="31" s="1"/>
  <c r="AZ118" i="31" s="1"/>
  <c r="AX120" i="31"/>
  <c r="AY120" i="31" s="1"/>
  <c r="AZ120" i="31" s="1"/>
  <c r="AL121" i="31"/>
  <c r="AM121" i="31" s="1"/>
  <c r="AN121" i="31" s="1"/>
  <c r="AX123" i="31"/>
  <c r="AY123" i="31" s="1"/>
  <c r="AZ123" i="31" s="1"/>
  <c r="AX128" i="31"/>
  <c r="AY128" i="31" s="1"/>
  <c r="AZ128" i="31" s="1"/>
  <c r="AX130" i="31"/>
  <c r="AY130" i="31" s="1"/>
  <c r="AZ130" i="31" s="1"/>
  <c r="AX112" i="31"/>
  <c r="AY112" i="31" s="1"/>
  <c r="AZ112" i="31" s="1"/>
  <c r="AX114" i="31"/>
  <c r="AY114" i="31" s="1"/>
  <c r="AZ114" i="31" s="1"/>
  <c r="AX116" i="31"/>
  <c r="AY116" i="31" s="1"/>
  <c r="AZ116" i="31" s="1"/>
  <c r="AX121" i="31"/>
  <c r="AY121" i="31" s="1"/>
  <c r="AZ121" i="31" s="1"/>
  <c r="AL101" i="31"/>
  <c r="AM101" i="31" s="1"/>
  <c r="AL108" i="31"/>
  <c r="AM108" i="31" s="1"/>
  <c r="AN108" i="31" s="1"/>
  <c r="AL125" i="31"/>
  <c r="AM125" i="31" s="1"/>
  <c r="AN125" i="31" s="1"/>
  <c r="AL119" i="31"/>
  <c r="AM119" i="31" s="1"/>
  <c r="AN119" i="31" s="1"/>
  <c r="AL104" i="31"/>
  <c r="AM104" i="31" s="1"/>
  <c r="AN104" i="31" s="1"/>
  <c r="AL126" i="31"/>
  <c r="AM126" i="31" s="1"/>
  <c r="AN126" i="31" s="1"/>
  <c r="AL127" i="31"/>
  <c r="AM127" i="31" s="1"/>
  <c r="AN127" i="31" s="1"/>
  <c r="AL131" i="31"/>
  <c r="AM131" i="31" s="1"/>
  <c r="AN131" i="31" s="1"/>
  <c r="AL111" i="31"/>
  <c r="AM111" i="31" s="1"/>
  <c r="AN111" i="31" s="1"/>
  <c r="AL113" i="31"/>
  <c r="AM113" i="31" s="1"/>
  <c r="AN113" i="31" s="1"/>
  <c r="AL115" i="31"/>
  <c r="AM115" i="31" s="1"/>
  <c r="AN115" i="31" s="1"/>
  <c r="AL117" i="31"/>
  <c r="AM117" i="31" s="1"/>
  <c r="AN117" i="31" s="1"/>
  <c r="AL124" i="31"/>
  <c r="AM124" i="31" s="1"/>
  <c r="AN124" i="31" s="1"/>
  <c r="AL118" i="31"/>
  <c r="AM118" i="31" s="1"/>
  <c r="AN118" i="31" s="1"/>
  <c r="AL120" i="31"/>
  <c r="AM120" i="31" s="1"/>
  <c r="AN120" i="31" s="1"/>
  <c r="AL100" i="31"/>
  <c r="AM100" i="31" s="1"/>
  <c r="AN100" i="31" s="1"/>
  <c r="AL123" i="31"/>
  <c r="AM123" i="31" s="1"/>
  <c r="AN123" i="31" s="1"/>
  <c r="AL128" i="31"/>
  <c r="AM128" i="31" s="1"/>
  <c r="AN128" i="31" s="1"/>
  <c r="AL109" i="31"/>
  <c r="AM109" i="31" s="1"/>
  <c r="AN109" i="31" s="1"/>
  <c r="AL102" i="31"/>
  <c r="AM102" i="31" s="1"/>
  <c r="AN102" i="31" s="1"/>
  <c r="Z127" i="31"/>
  <c r="AA127" i="31" s="1"/>
  <c r="AB127" i="31" s="1"/>
  <c r="Z115" i="31"/>
  <c r="AA115" i="31" s="1"/>
  <c r="AB115" i="31" s="1"/>
  <c r="Z109" i="31"/>
  <c r="AA109" i="31" s="1"/>
  <c r="AB109" i="31" s="1"/>
  <c r="Z102" i="31"/>
  <c r="AA102" i="31" s="1"/>
  <c r="AB102" i="31" s="1"/>
  <c r="Z112" i="31"/>
  <c r="AA112" i="31" s="1"/>
  <c r="AB112" i="31" s="1"/>
  <c r="Z108" i="31"/>
  <c r="AA108" i="31" s="1"/>
  <c r="AB108" i="31" s="1"/>
  <c r="Z104" i="31"/>
  <c r="AA104" i="31" s="1"/>
  <c r="AB104" i="31" s="1"/>
  <c r="Z106" i="31"/>
  <c r="AA106" i="31" s="1"/>
  <c r="AB106" i="31" s="1"/>
  <c r="Z131" i="31"/>
  <c r="AA131" i="31" s="1"/>
  <c r="AB131" i="31" s="1"/>
  <c r="Z113" i="31"/>
  <c r="AA113" i="31" s="1"/>
  <c r="AB113" i="31" s="1"/>
  <c r="Z117" i="31"/>
  <c r="AA117" i="31" s="1"/>
  <c r="AB117" i="31" s="1"/>
  <c r="Z122" i="31"/>
  <c r="AA122" i="31" s="1"/>
  <c r="AB122" i="31" s="1"/>
  <c r="BK124" i="31"/>
  <c r="BL124" i="31" s="1"/>
  <c r="Z99" i="31"/>
  <c r="AA99" i="31" s="1"/>
  <c r="AB99" i="31" s="1"/>
  <c r="Z118" i="31"/>
  <c r="AA118" i="31" s="1"/>
  <c r="AB118" i="31" s="1"/>
  <c r="Z120" i="31"/>
  <c r="AA120" i="31" s="1"/>
  <c r="AB120" i="31" s="1"/>
  <c r="Z123" i="31"/>
  <c r="AA123" i="31" s="1"/>
  <c r="AB123" i="31" s="1"/>
  <c r="Z105" i="31"/>
  <c r="AA105" i="31" s="1"/>
  <c r="AB105" i="31" s="1"/>
  <c r="AY125" i="31"/>
  <c r="AZ125" i="31" s="1"/>
  <c r="Z121" i="31"/>
  <c r="AA121" i="31" s="1"/>
  <c r="AB121" i="31" s="1"/>
  <c r="Z114" i="31"/>
  <c r="AA114" i="31" s="1"/>
  <c r="AB114" i="31" s="1"/>
  <c r="Z116" i="31"/>
  <c r="AA116" i="31" s="1"/>
  <c r="AB116" i="31" s="1"/>
  <c r="Z125" i="31"/>
  <c r="AA125" i="31" s="1"/>
  <c r="AB125" i="31" s="1"/>
  <c r="BW126" i="31"/>
  <c r="BX126" i="31" s="1"/>
  <c r="Z130" i="31"/>
  <c r="AA130" i="31" s="1"/>
  <c r="AB130" i="31" s="1"/>
  <c r="BW125" i="31"/>
  <c r="BX125" i="31" s="1"/>
  <c r="Y110" i="31"/>
  <c r="T98" i="31"/>
  <c r="BK112" i="31"/>
  <c r="BL112" i="31" s="1"/>
  <c r="Z119" i="31"/>
  <c r="AA119" i="31" s="1"/>
  <c r="AB119" i="31" s="1"/>
  <c r="BK106" i="31"/>
  <c r="BL106" i="31" s="1"/>
  <c r="BW102" i="31"/>
  <c r="BX102" i="31" s="1"/>
  <c r="BW118" i="31"/>
  <c r="BX118" i="31" s="1"/>
  <c r="BK105" i="31"/>
  <c r="BL105" i="31" s="1"/>
  <c r="BW116" i="31"/>
  <c r="BX116" i="31" s="1"/>
  <c r="AE97" i="31"/>
  <c r="AE149" i="31" s="1"/>
  <c r="AE148" i="31" s="1"/>
  <c r="BK118" i="31"/>
  <c r="BL118" i="31" s="1"/>
  <c r="BW120" i="31"/>
  <c r="BX120" i="31" s="1"/>
  <c r="BW111" i="31"/>
  <c r="BX111" i="31" s="1"/>
  <c r="BW121" i="31"/>
  <c r="BX121" i="31" s="1"/>
  <c r="BW128" i="31"/>
  <c r="BX128" i="31" s="1"/>
  <c r="BK102" i="31"/>
  <c r="BL102" i="31" s="1"/>
  <c r="BW119" i="31"/>
  <c r="BX119" i="31" s="1"/>
  <c r="BW117" i="31"/>
  <c r="BX117" i="31" s="1"/>
  <c r="BW122" i="31"/>
  <c r="BX122" i="31" s="1"/>
  <c r="BW132" i="31"/>
  <c r="BX132" i="31" s="1"/>
  <c r="BW113" i="31"/>
  <c r="BX113" i="31" s="1"/>
  <c r="BW130" i="31"/>
  <c r="BX130" i="31" s="1"/>
  <c r="BW123" i="31"/>
  <c r="BX123" i="31" s="1"/>
  <c r="BW109" i="31"/>
  <c r="BX109" i="31" s="1"/>
  <c r="BK104" i="31"/>
  <c r="BL104" i="31" s="1"/>
  <c r="BW112" i="31"/>
  <c r="BX112" i="31" s="1"/>
  <c r="BW104" i="31"/>
  <c r="BX104" i="31" s="1"/>
  <c r="BW108" i="31"/>
  <c r="BX108" i="31" s="1"/>
  <c r="BW114" i="31"/>
  <c r="BX114" i="31" s="1"/>
  <c r="BW131" i="31"/>
  <c r="BX131" i="31" s="1"/>
  <c r="BK113" i="31"/>
  <c r="BL113" i="31" s="1"/>
  <c r="AY117" i="31"/>
  <c r="AZ117" i="31" s="1"/>
  <c r="BK130" i="31"/>
  <c r="BL130" i="31" s="1"/>
  <c r="BW124" i="31"/>
  <c r="BX124" i="31" s="1"/>
  <c r="T97" i="31"/>
  <c r="Q100" i="31"/>
  <c r="BW115" i="31"/>
  <c r="BX115" i="31" s="1"/>
  <c r="AY111" i="31"/>
  <c r="AZ111" i="31" s="1"/>
  <c r="BW127" i="31"/>
  <c r="BX127" i="31" s="1"/>
  <c r="BK128" i="31"/>
  <c r="BL128" i="31" s="1"/>
  <c r="V110" i="31"/>
  <c r="W110" i="31"/>
  <c r="S98" i="31"/>
  <c r="X110" i="31"/>
  <c r="Q48" i="31"/>
  <c r="Y129" i="31" s="1"/>
  <c r="AQ97" i="31" l="1"/>
  <c r="BJ100" i="31"/>
  <c r="BK100" i="31" s="1"/>
  <c r="BL100" i="31" s="1"/>
  <c r="Z110" i="31"/>
  <c r="U98" i="31"/>
  <c r="W98" i="31"/>
  <c r="V98" i="31"/>
  <c r="AF97" i="31"/>
  <c r="Q101" i="31"/>
  <c r="AQ149" i="31"/>
  <c r="AQ148" i="31" s="1"/>
  <c r="BC97" i="31"/>
  <c r="AR97" i="31"/>
  <c r="AF149" i="31"/>
  <c r="AF148" i="31" s="1"/>
  <c r="AG97" i="31"/>
  <c r="T149" i="31"/>
  <c r="T148" i="31" s="1"/>
  <c r="U97" i="31"/>
  <c r="X129" i="31"/>
  <c r="T101" i="31"/>
  <c r="S101" i="31"/>
  <c r="Q49" i="31"/>
  <c r="Z101" i="31" l="1"/>
  <c r="Y98" i="31"/>
  <c r="X98" i="31"/>
  <c r="Z98" i="31" s="1"/>
  <c r="U149" i="31"/>
  <c r="U148" i="31" s="1"/>
  <c r="V97" i="31"/>
  <c r="T129" i="31"/>
  <c r="S129" i="31"/>
  <c r="W129" i="31"/>
  <c r="U129" i="31"/>
  <c r="Q50" i="31"/>
  <c r="Y103" i="31" s="1"/>
  <c r="V129" i="31"/>
  <c r="BC149" i="31"/>
  <c r="BC148" i="31" s="1"/>
  <c r="BO97" i="31"/>
  <c r="BD97" i="31"/>
  <c r="AG149" i="31"/>
  <c r="AG148" i="31" s="1"/>
  <c r="AH97" i="31"/>
  <c r="Q102" i="31"/>
  <c r="AR149" i="31"/>
  <c r="AR148" i="31" s="1"/>
  <c r="AS97" i="31"/>
  <c r="Z129" i="31" l="1"/>
  <c r="BO149" i="31"/>
  <c r="BO148" i="31" s="1"/>
  <c r="BP97" i="31"/>
  <c r="Q103" i="31"/>
  <c r="AI97" i="31"/>
  <c r="AH149" i="31"/>
  <c r="AH148" i="31" s="1"/>
  <c r="BD149" i="31"/>
  <c r="BD148" i="31" s="1"/>
  <c r="BE97" i="31"/>
  <c r="T107" i="31"/>
  <c r="S107" i="31"/>
  <c r="U103" i="31"/>
  <c r="Q51" i="31"/>
  <c r="Y107" i="31" s="1"/>
  <c r="X103" i="31"/>
  <c r="W103" i="31"/>
  <c r="V103" i="31"/>
  <c r="AS149" i="31"/>
  <c r="AS148" i="31" s="1"/>
  <c r="AT97" i="31"/>
  <c r="V149" i="31"/>
  <c r="V148" i="31" s="1"/>
  <c r="W97" i="31"/>
  <c r="U107" i="31" l="1"/>
  <c r="S103" i="31"/>
  <c r="T103" i="31"/>
  <c r="X107" i="31"/>
  <c r="W107" i="31"/>
  <c r="V107" i="31"/>
  <c r="Q52" i="31"/>
  <c r="Y124" i="31" s="1"/>
  <c r="BE149" i="31"/>
  <c r="BE148" i="31" s="1"/>
  <c r="BF97" i="31"/>
  <c r="AI149" i="31"/>
  <c r="AI148" i="31" s="1"/>
  <c r="AJ97" i="31"/>
  <c r="Q104" i="31"/>
  <c r="W149" i="31"/>
  <c r="W148" i="31" s="1"/>
  <c r="X97" i="31"/>
  <c r="BP149" i="31"/>
  <c r="BP148" i="31" s="1"/>
  <c r="BQ97" i="31"/>
  <c r="AT149" i="31"/>
  <c r="AT148" i="31" s="1"/>
  <c r="AU97" i="31"/>
  <c r="AJ149" i="31" l="1"/>
  <c r="AJ148" i="31" s="1"/>
  <c r="AK97" i="31"/>
  <c r="AK149" i="31" s="1"/>
  <c r="AK148" i="31" s="1"/>
  <c r="X149" i="31"/>
  <c r="X148" i="31" s="1"/>
  <c r="Y97" i="31"/>
  <c r="Y149" i="31" s="1"/>
  <c r="Y148" i="31" s="1"/>
  <c r="Z107" i="31"/>
  <c r="Z103" i="31"/>
  <c r="Q105" i="31"/>
  <c r="BF149" i="31"/>
  <c r="BF148" i="31" s="1"/>
  <c r="BG97" i="31"/>
  <c r="X124" i="31"/>
  <c r="V124" i="31"/>
  <c r="U124" i="31"/>
  <c r="T124" i="31"/>
  <c r="S124" i="31"/>
  <c r="W124" i="31"/>
  <c r="Q53" i="31"/>
  <c r="Y126" i="31" s="1"/>
  <c r="AU149" i="31"/>
  <c r="AU148" i="31" s="1"/>
  <c r="AV97" i="31"/>
  <c r="BQ149" i="31"/>
  <c r="BQ148" i="31" s="1"/>
  <c r="BR97" i="31"/>
  <c r="AV149" i="31" l="1"/>
  <c r="AV148" i="31" s="1"/>
  <c r="AW97" i="31"/>
  <c r="AW149" i="31" s="1"/>
  <c r="AW148" i="31" s="1"/>
  <c r="Z124" i="31"/>
  <c r="X126" i="31"/>
  <c r="W126" i="31"/>
  <c r="V126" i="31"/>
  <c r="Q54" i="31"/>
  <c r="W132" i="31" s="1"/>
  <c r="S111" i="31"/>
  <c r="T111" i="31"/>
  <c r="U126" i="31"/>
  <c r="BR149" i="31"/>
  <c r="BR148" i="31" s="1"/>
  <c r="BS97" i="31"/>
  <c r="BG149" i="31"/>
  <c r="BG148" i="31" s="1"/>
  <c r="BH97" i="31"/>
  <c r="Q106" i="31"/>
  <c r="BH149" i="31" l="1"/>
  <c r="BH148" i="31" s="1"/>
  <c r="BI97" i="31"/>
  <c r="BI149" i="31" s="1"/>
  <c r="BI148" i="31" s="1"/>
  <c r="BS149" i="31"/>
  <c r="BS148" i="31" s="1"/>
  <c r="BT97" i="31"/>
  <c r="Q107" i="31"/>
  <c r="T132" i="31"/>
  <c r="S132" i="31"/>
  <c r="X111" i="31"/>
  <c r="U111" i="31"/>
  <c r="V100" i="31"/>
  <c r="Q55" i="31"/>
  <c r="Y128" i="31" s="1"/>
  <c r="BT149" i="31" l="1"/>
  <c r="BT148" i="31" s="1"/>
  <c r="BU97" i="31"/>
  <c r="BU149" i="31" s="1"/>
  <c r="BU148" i="31" s="1"/>
  <c r="Z111" i="31"/>
  <c r="V132" i="31"/>
  <c r="Z132" i="31" s="1"/>
  <c r="X128" i="31"/>
  <c r="W128" i="31"/>
  <c r="T126" i="31"/>
  <c r="S126" i="31"/>
  <c r="U100" i="31"/>
  <c r="Z100" i="31" s="1"/>
  <c r="Q56" i="31"/>
  <c r="Q108" i="31"/>
  <c r="AK98" i="31" l="1"/>
  <c r="AJ98" i="31"/>
  <c r="Z128" i="31"/>
  <c r="Z126" i="31"/>
  <c r="AA98" i="31"/>
  <c r="AB98" i="31" s="1"/>
  <c r="Q109" i="31"/>
  <c r="Q57" i="31"/>
  <c r="AI98" i="31"/>
  <c r="AH98" i="31"/>
  <c r="AF98" i="31"/>
  <c r="AG98" i="31"/>
  <c r="AE98" i="31"/>
  <c r="AA128" i="31"/>
  <c r="AL98" i="31" l="1"/>
  <c r="AA124" i="31"/>
  <c r="AA101" i="31"/>
  <c r="AA110" i="31"/>
  <c r="AA107" i="31"/>
  <c r="AA126" i="31"/>
  <c r="AB126" i="31" s="1"/>
  <c r="AA103" i="31"/>
  <c r="AA100" i="31"/>
  <c r="AB100" i="31" s="1"/>
  <c r="AA132" i="31"/>
  <c r="AA129" i="31"/>
  <c r="AB129" i="31" s="1"/>
  <c r="AA111" i="31"/>
  <c r="AB111" i="31" s="1"/>
  <c r="AH103" i="31"/>
  <c r="AJ130" i="31"/>
  <c r="AI130" i="31"/>
  <c r="AG103" i="31"/>
  <c r="AF103" i="31"/>
  <c r="AE103" i="31"/>
  <c r="Q58" i="31"/>
  <c r="Q110" i="31"/>
  <c r="AB107" i="31" l="1"/>
  <c r="AB103" i="31"/>
  <c r="AB132" i="31"/>
  <c r="AB110" i="31"/>
  <c r="AB128" i="31"/>
  <c r="AA133" i="31"/>
  <c r="AB101" i="31"/>
  <c r="AB124" i="31"/>
  <c r="AE130" i="31"/>
  <c r="AH130" i="31"/>
  <c r="AF130" i="31"/>
  <c r="AG130" i="31"/>
  <c r="AJ103" i="31"/>
  <c r="AI103" i="31"/>
  <c r="Q59" i="31"/>
  <c r="Q111" i="31"/>
  <c r="AL103" i="31" l="1"/>
  <c r="AL130" i="31"/>
  <c r="AC98" i="31"/>
  <c r="AC102" i="31"/>
  <c r="AC113" i="31"/>
  <c r="AC122" i="31"/>
  <c r="AC114" i="31"/>
  <c r="AC99" i="31"/>
  <c r="AC121" i="31"/>
  <c r="AC105" i="31"/>
  <c r="AC100" i="31"/>
  <c r="AC128" i="31"/>
  <c r="AC117" i="31"/>
  <c r="AC120" i="31"/>
  <c r="AC130" i="31"/>
  <c r="AC110" i="31"/>
  <c r="AC131" i="31"/>
  <c r="AC123" i="31"/>
  <c r="AC112" i="31"/>
  <c r="AC124" i="31"/>
  <c r="AC129" i="31"/>
  <c r="AC118" i="31"/>
  <c r="AC125" i="31"/>
  <c r="AC109" i="31"/>
  <c r="AC103" i="31"/>
  <c r="AC108" i="31"/>
  <c r="AC127" i="31"/>
  <c r="AC101" i="31"/>
  <c r="AC115" i="31"/>
  <c r="AC104" i="31"/>
  <c r="AC119" i="31"/>
  <c r="AC116" i="31"/>
  <c r="AC132" i="31"/>
  <c r="AC111" i="31"/>
  <c r="AC106" i="31"/>
  <c r="AC107" i="31"/>
  <c r="AC126" i="31"/>
  <c r="Q112" i="31"/>
  <c r="AF106" i="31"/>
  <c r="AH129" i="31"/>
  <c r="AE106" i="31"/>
  <c r="Q60" i="31"/>
  <c r="AJ110" i="31"/>
  <c r="AI107" i="31"/>
  <c r="AG107" i="31"/>
  <c r="AC133" i="31" l="1"/>
  <c r="AG129" i="31"/>
  <c r="AF129" i="31"/>
  <c r="AE129" i="31"/>
  <c r="AH107" i="31"/>
  <c r="Q61" i="31"/>
  <c r="AI110" i="31"/>
  <c r="AJ107" i="31"/>
  <c r="Q113" i="31"/>
  <c r="R150" i="31" l="1"/>
  <c r="R162" i="31"/>
  <c r="R159" i="31"/>
  <c r="Y159" i="31" s="1"/>
  <c r="R152" i="31"/>
  <c r="R161" i="31"/>
  <c r="R158" i="31"/>
  <c r="R156" i="31"/>
  <c r="R153" i="31"/>
  <c r="R151" i="31"/>
  <c r="R160" i="31"/>
  <c r="R157" i="31"/>
  <c r="R155" i="31"/>
  <c r="R154" i="31"/>
  <c r="R163" i="31"/>
  <c r="R164" i="31"/>
  <c r="U159" i="31"/>
  <c r="T159" i="31"/>
  <c r="S159" i="31"/>
  <c r="X159" i="31"/>
  <c r="AE110" i="31"/>
  <c r="AJ129" i="31"/>
  <c r="AI129" i="31"/>
  <c r="AH110" i="31"/>
  <c r="AF110" i="31"/>
  <c r="Q62" i="31"/>
  <c r="AG110" i="31"/>
  <c r="Q114" i="31"/>
  <c r="R165" i="31"/>
  <c r="W150" i="31"/>
  <c r="V150" i="31"/>
  <c r="U150" i="31"/>
  <c r="T150" i="31"/>
  <c r="S150" i="31"/>
  <c r="AL129" i="31" l="1"/>
  <c r="AL110" i="31"/>
  <c r="V159" i="31"/>
  <c r="T160" i="31"/>
  <c r="Y160" i="31"/>
  <c r="S151" i="31"/>
  <c r="Y151" i="31"/>
  <c r="U153" i="31"/>
  <c r="Y153" i="31"/>
  <c r="X156" i="31"/>
  <c r="Y156" i="31"/>
  <c r="U154" i="31"/>
  <c r="Y154" i="31"/>
  <c r="X158" i="31"/>
  <c r="Y158" i="31"/>
  <c r="X161" i="31"/>
  <c r="Y161" i="31"/>
  <c r="X157" i="31"/>
  <c r="Y157" i="31"/>
  <c r="Y152" i="31"/>
  <c r="X152" i="31"/>
  <c r="W155" i="31"/>
  <c r="Y155" i="31"/>
  <c r="W159" i="31"/>
  <c r="Y150" i="31"/>
  <c r="X150" i="31"/>
  <c r="U152" i="31"/>
  <c r="W151" i="31"/>
  <c r="V152" i="31"/>
  <c r="X151" i="31"/>
  <c r="W161" i="31"/>
  <c r="V153" i="31"/>
  <c r="W153" i="31"/>
  <c r="S161" i="31"/>
  <c r="T161" i="31"/>
  <c r="X153" i="31"/>
  <c r="U161" i="31"/>
  <c r="U151" i="31"/>
  <c r="V161" i="31"/>
  <c r="S158" i="31"/>
  <c r="T158" i="31"/>
  <c r="T151" i="31"/>
  <c r="V151" i="31"/>
  <c r="S156" i="31"/>
  <c r="S160" i="31"/>
  <c r="U160" i="31"/>
  <c r="V160" i="31"/>
  <c r="W160" i="31"/>
  <c r="X160" i="31"/>
  <c r="X155" i="31"/>
  <c r="S152" i="31"/>
  <c r="T156" i="31"/>
  <c r="T152" i="31"/>
  <c r="W156" i="31"/>
  <c r="W152" i="31"/>
  <c r="U156" i="31"/>
  <c r="V156" i="31"/>
  <c r="W154" i="31"/>
  <c r="V154" i="31"/>
  <c r="S154" i="31"/>
  <c r="X154" i="31"/>
  <c r="T154" i="31"/>
  <c r="U157" i="31"/>
  <c r="U158" i="31"/>
  <c r="S155" i="31"/>
  <c r="S157" i="31"/>
  <c r="V158" i="31"/>
  <c r="T155" i="31"/>
  <c r="W158" i="31"/>
  <c r="V157" i="31"/>
  <c r="T153" i="31"/>
  <c r="V155" i="31"/>
  <c r="W157" i="31"/>
  <c r="T157" i="31"/>
  <c r="S153" i="31"/>
  <c r="U155" i="31"/>
  <c r="R166" i="31"/>
  <c r="Q115" i="31"/>
  <c r="AH106" i="31"/>
  <c r="AG106" i="31"/>
  <c r="AF107" i="31"/>
  <c r="AE107" i="31"/>
  <c r="AJ106" i="31"/>
  <c r="AI106" i="31"/>
  <c r="Q63" i="31"/>
  <c r="AL106" i="31" l="1"/>
  <c r="AL107" i="31"/>
  <c r="AJ132" i="31"/>
  <c r="AF105" i="31"/>
  <c r="AH99" i="31"/>
  <c r="Q64" i="31"/>
  <c r="AI105" i="31"/>
  <c r="AG105" i="31"/>
  <c r="AE105" i="31"/>
  <c r="R167" i="31"/>
  <c r="Q116" i="31"/>
  <c r="Q117" i="31" l="1"/>
  <c r="R168" i="31"/>
  <c r="AI99" i="31"/>
  <c r="Q65" i="31"/>
  <c r="AF99" i="31"/>
  <c r="AG99" i="31"/>
  <c r="AH105" i="31"/>
  <c r="AE99" i="31"/>
  <c r="AL99" i="31" l="1"/>
  <c r="AI122" i="31"/>
  <c r="AL122" i="31" s="1"/>
  <c r="AH132" i="31"/>
  <c r="AG132" i="31"/>
  <c r="AF132" i="31"/>
  <c r="Q66" i="31"/>
  <c r="AW98" i="31" s="1"/>
  <c r="AJ105" i="31"/>
  <c r="AL105" i="31" s="1"/>
  <c r="AE132" i="31"/>
  <c r="Q118" i="31"/>
  <c r="AL132" i="31" l="1"/>
  <c r="AM99" i="31"/>
  <c r="AM105" i="31"/>
  <c r="AM98" i="31"/>
  <c r="AN101" i="31" s="1"/>
  <c r="AM103" i="31"/>
  <c r="AM130" i="31"/>
  <c r="AM106" i="31"/>
  <c r="AM129" i="31"/>
  <c r="AM110" i="31"/>
  <c r="AM107" i="31"/>
  <c r="AM132" i="31"/>
  <c r="AV98" i="31"/>
  <c r="Q67" i="31"/>
  <c r="AW103" i="31" s="1"/>
  <c r="AU98" i="31"/>
  <c r="AT98" i="31"/>
  <c r="AR98" i="31"/>
  <c r="AQ98" i="31"/>
  <c r="AS98" i="31"/>
  <c r="Q119" i="31"/>
  <c r="AM122" i="31"/>
  <c r="AN122" i="31" l="1"/>
  <c r="AX98" i="31"/>
  <c r="AN107" i="31"/>
  <c r="AN132" i="31"/>
  <c r="AN110" i="31"/>
  <c r="AN129" i="31"/>
  <c r="AN106" i="31"/>
  <c r="AR129" i="31"/>
  <c r="AQ129" i="31"/>
  <c r="AS105" i="31"/>
  <c r="Q68" i="31"/>
  <c r="AW105" i="31" s="1"/>
  <c r="AT103" i="31"/>
  <c r="AV103" i="31"/>
  <c r="AU103" i="31"/>
  <c r="AN103" i="31"/>
  <c r="AM133" i="31"/>
  <c r="AN98" i="31"/>
  <c r="AN99" i="31"/>
  <c r="Q120" i="31"/>
  <c r="AN130" i="31"/>
  <c r="AN105" i="31"/>
  <c r="AO99" i="31" l="1"/>
  <c r="AO107" i="31"/>
  <c r="AO103" i="31"/>
  <c r="AR103" i="31"/>
  <c r="Q69" i="31"/>
  <c r="AW110" i="31" s="1"/>
  <c r="AQ103" i="31"/>
  <c r="AU105" i="31"/>
  <c r="AT105" i="31"/>
  <c r="AS103" i="31"/>
  <c r="AV105" i="31"/>
  <c r="AO106" i="31"/>
  <c r="AO129" i="31"/>
  <c r="AO110" i="31"/>
  <c r="AO132" i="31"/>
  <c r="Q121" i="31"/>
  <c r="AO98" i="31"/>
  <c r="AO113" i="31"/>
  <c r="AO104" i="31"/>
  <c r="AO109" i="31"/>
  <c r="AO131" i="31"/>
  <c r="AO127" i="31"/>
  <c r="AO102" i="31"/>
  <c r="AO112" i="31"/>
  <c r="AO115" i="31"/>
  <c r="AO121" i="31"/>
  <c r="AO120" i="31"/>
  <c r="AO119" i="31"/>
  <c r="AO128" i="31"/>
  <c r="AO124" i="31"/>
  <c r="AO111" i="31"/>
  <c r="AO118" i="31"/>
  <c r="AO126" i="31"/>
  <c r="AO117" i="31"/>
  <c r="AO114" i="31"/>
  <c r="AO116" i="31"/>
  <c r="AO108" i="31"/>
  <c r="AO100" i="31"/>
  <c r="AO101" i="31"/>
  <c r="AO123" i="31"/>
  <c r="AO125" i="31"/>
  <c r="AO122" i="31"/>
  <c r="AO105" i="31"/>
  <c r="AO130" i="31"/>
  <c r="AX103" i="31" l="1"/>
  <c r="AO133" i="31"/>
  <c r="Q122" i="31"/>
  <c r="Q123" i="31" s="1"/>
  <c r="Q124" i="31" s="1"/>
  <c r="Q125" i="31" s="1"/>
  <c r="Q126" i="31" s="1"/>
  <c r="Q127" i="31" s="1"/>
  <c r="Q128" i="31" s="1"/>
  <c r="Q129" i="31" s="1"/>
  <c r="Q130" i="31" s="1"/>
  <c r="Q131" i="31" s="1"/>
  <c r="Q132" i="31" s="1"/>
  <c r="Q133" i="31" s="1"/>
  <c r="Q134" i="31" s="1"/>
  <c r="Q135" i="31" s="1"/>
  <c r="Q136" i="31" s="1"/>
  <c r="Q137" i="31" s="1"/>
  <c r="Q138" i="31" s="1"/>
  <c r="Q139" i="31" s="1"/>
  <c r="Q140" i="31" s="1"/>
  <c r="Q141" i="31" s="1"/>
  <c r="Q142" i="31" s="1"/>
  <c r="Q143" i="31" s="1"/>
  <c r="Q144" i="31" s="1"/>
  <c r="Q145" i="31" s="1"/>
  <c r="Q146" i="31" s="1"/>
  <c r="Q147" i="31" s="1"/>
  <c r="AU132" i="31"/>
  <c r="AR132" i="31"/>
  <c r="AQ132" i="31"/>
  <c r="AS129" i="31"/>
  <c r="Q70" i="31"/>
  <c r="AV110" i="31"/>
  <c r="AT129" i="31"/>
  <c r="AV132" i="31" l="1"/>
  <c r="AT132" i="31"/>
  <c r="AS132" i="31"/>
  <c r="AU129" i="31"/>
  <c r="AR105" i="31"/>
  <c r="AQ105" i="31"/>
  <c r="AX105" i="31" s="1"/>
  <c r="Q71" i="31"/>
  <c r="AD150" i="31"/>
  <c r="AK150" i="31" s="1"/>
  <c r="AD151" i="31"/>
  <c r="AK151" i="31" s="1"/>
  <c r="AD152" i="31"/>
  <c r="AD153" i="31"/>
  <c r="AK153" i="31" s="1"/>
  <c r="AD154" i="31"/>
  <c r="AK154" i="31" s="1"/>
  <c r="AD155" i="31"/>
  <c r="AK155" i="31" s="1"/>
  <c r="AD156" i="31"/>
  <c r="AK156" i="31" s="1"/>
  <c r="AD157" i="31"/>
  <c r="AK157" i="31" s="1"/>
  <c r="AD158" i="31"/>
  <c r="AK158" i="31" s="1"/>
  <c r="AD159" i="31"/>
  <c r="AK159" i="31" s="1"/>
  <c r="AD160" i="31"/>
  <c r="AK160" i="31" s="1"/>
  <c r="AD161" i="31"/>
  <c r="AD162" i="31"/>
  <c r="AD163" i="31"/>
  <c r="AD164" i="31"/>
  <c r="AD165" i="31"/>
  <c r="AD166" i="31"/>
  <c r="AD167" i="31"/>
  <c r="AD168" i="31"/>
  <c r="AX132" i="31" l="1"/>
  <c r="AJ153" i="31"/>
  <c r="AI153" i="31"/>
  <c r="AH153" i="31"/>
  <c r="AG153" i="31"/>
  <c r="AF153" i="31"/>
  <c r="AE153" i="31"/>
  <c r="AH156" i="31"/>
  <c r="AG156" i="31"/>
  <c r="AF156" i="31"/>
  <c r="AE156" i="31"/>
  <c r="AI156" i="31"/>
  <c r="AJ156" i="31"/>
  <c r="AI152" i="31"/>
  <c r="AH152" i="31"/>
  <c r="AG152" i="31"/>
  <c r="AF152" i="31"/>
  <c r="AE152" i="31"/>
  <c r="AJ158" i="31"/>
  <c r="AI158" i="31"/>
  <c r="AH158" i="31"/>
  <c r="AG158" i="31"/>
  <c r="AF158" i="31"/>
  <c r="AE158" i="31"/>
  <c r="AJ155" i="31"/>
  <c r="AI155" i="31"/>
  <c r="AH155" i="31"/>
  <c r="AG155" i="31"/>
  <c r="AE155" i="31"/>
  <c r="AF155" i="31"/>
  <c r="AJ159" i="31"/>
  <c r="AI159" i="31"/>
  <c r="AG159" i="31"/>
  <c r="AF159" i="31"/>
  <c r="AE159" i="31"/>
  <c r="AH159" i="31"/>
  <c r="AJ154" i="31"/>
  <c r="AI154" i="31"/>
  <c r="AG154" i="31"/>
  <c r="AF154" i="31"/>
  <c r="AE154" i="31"/>
  <c r="AH154" i="31"/>
  <c r="AJ157" i="31"/>
  <c r="AI157" i="31"/>
  <c r="AH157" i="31"/>
  <c r="AG157" i="31"/>
  <c r="AF157" i="31"/>
  <c r="AE157" i="31"/>
  <c r="AH151" i="31"/>
  <c r="AG151" i="31"/>
  <c r="AF151" i="31"/>
  <c r="AE151" i="31"/>
  <c r="AI151" i="31"/>
  <c r="AJ151" i="31"/>
  <c r="AJ150" i="31"/>
  <c r="AI150" i="31"/>
  <c r="AH150" i="31"/>
  <c r="AG150" i="31"/>
  <c r="AE150" i="31"/>
  <c r="AF150" i="31"/>
  <c r="AS107" i="31"/>
  <c r="AR107" i="31"/>
  <c r="AQ107" i="31"/>
  <c r="AV129" i="31"/>
  <c r="AX129" i="31" s="1"/>
  <c r="AU107" i="31"/>
  <c r="AT107" i="31"/>
  <c r="Q72" i="31"/>
  <c r="AW101" i="31" s="1"/>
  <c r="AJ160" i="31"/>
  <c r="AI160" i="31"/>
  <c r="AH160" i="31"/>
  <c r="AG160" i="31"/>
  <c r="AE160" i="31"/>
  <c r="AF160" i="31"/>
  <c r="AR101" i="31" l="1"/>
  <c r="AQ101" i="31"/>
  <c r="AS126" i="31"/>
  <c r="Q73" i="31"/>
  <c r="AV101" i="31"/>
  <c r="AT101" i="31"/>
  <c r="AU101" i="31"/>
  <c r="AR110" i="31" l="1"/>
  <c r="AQ110" i="31"/>
  <c r="AT126" i="31"/>
  <c r="Q74" i="31"/>
  <c r="AV104" i="31"/>
  <c r="AX104" i="31" s="1"/>
  <c r="AU110" i="31"/>
  <c r="AS101" i="31"/>
  <c r="AX101" i="31" s="1"/>
  <c r="AT110" i="31" l="1"/>
  <c r="AS110" i="31"/>
  <c r="AX110" i="31" s="1"/>
  <c r="AU126" i="31"/>
  <c r="AV107" i="31"/>
  <c r="AX107" i="31" s="1"/>
  <c r="AQ99" i="31"/>
  <c r="Q75" i="31"/>
  <c r="AR99" i="31"/>
  <c r="AV126" i="31" l="1"/>
  <c r="AR126" i="31"/>
  <c r="AQ126" i="31"/>
  <c r="AX126" i="31" s="1"/>
  <c r="Q76" i="31"/>
  <c r="BI103" i="31" s="1"/>
  <c r="AU99" i="31"/>
  <c r="AT99" i="31"/>
  <c r="AS106" i="31"/>
  <c r="AX106" i="31" s="1"/>
  <c r="AX99" i="31" l="1"/>
  <c r="AY99" i="31"/>
  <c r="AY98" i="31"/>
  <c r="AY103" i="31"/>
  <c r="AY132" i="31"/>
  <c r="AY105" i="31"/>
  <c r="AY129" i="31"/>
  <c r="AY101" i="31"/>
  <c r="AY104" i="31"/>
  <c r="AY110" i="31"/>
  <c r="AY107" i="31"/>
  <c r="AY106" i="31"/>
  <c r="BF103" i="31"/>
  <c r="BH103" i="31"/>
  <c r="BG103" i="31"/>
  <c r="BE103" i="31"/>
  <c r="BC98" i="31"/>
  <c r="Q77" i="31"/>
  <c r="BI107" i="31" s="1"/>
  <c r="BD98" i="31"/>
  <c r="AY126" i="31"/>
  <c r="AZ126" i="31" l="1"/>
  <c r="BH107" i="31"/>
  <c r="BG107" i="31"/>
  <c r="BD103" i="31"/>
  <c r="BC103" i="31"/>
  <c r="Q78" i="31"/>
  <c r="BI101" i="31" s="1"/>
  <c r="BF98" i="31"/>
  <c r="BE98" i="31"/>
  <c r="AZ106" i="31"/>
  <c r="AZ107" i="31"/>
  <c r="AZ110" i="31"/>
  <c r="AZ104" i="31"/>
  <c r="AZ101" i="31"/>
  <c r="AZ129" i="31"/>
  <c r="AZ105" i="31"/>
  <c r="AZ132" i="31"/>
  <c r="AZ103" i="31"/>
  <c r="AY133" i="31"/>
  <c r="AZ98" i="31"/>
  <c r="AZ99" i="31"/>
  <c r="BJ103" i="31" l="1"/>
  <c r="BA129" i="31"/>
  <c r="BA103" i="31"/>
  <c r="BA126" i="31"/>
  <c r="BA132" i="31"/>
  <c r="BA105" i="31"/>
  <c r="BA104" i="31"/>
  <c r="BA106" i="31"/>
  <c r="BH101" i="31"/>
  <c r="BF107" i="31"/>
  <c r="BE107" i="31"/>
  <c r="BD107" i="31"/>
  <c r="BC107" i="31"/>
  <c r="Q79" i="31"/>
  <c r="BI98" i="31" s="1"/>
  <c r="BG98" i="31"/>
  <c r="BA101" i="31"/>
  <c r="BA107" i="31"/>
  <c r="BA98" i="31"/>
  <c r="BA109" i="31"/>
  <c r="BA114" i="31"/>
  <c r="BA121" i="31"/>
  <c r="BA119" i="31"/>
  <c r="BA113" i="31"/>
  <c r="BA112" i="31"/>
  <c r="BA102" i="31"/>
  <c r="BA130" i="31"/>
  <c r="BA117" i="31"/>
  <c r="BA108" i="31"/>
  <c r="BA128" i="31"/>
  <c r="BA123" i="31"/>
  <c r="BA125" i="31"/>
  <c r="BA116" i="31"/>
  <c r="BA122" i="31"/>
  <c r="BA115" i="31"/>
  <c r="BA131" i="31"/>
  <c r="BA118" i="31"/>
  <c r="BA111" i="31"/>
  <c r="BA120" i="31"/>
  <c r="BA100" i="31"/>
  <c r="BA127" i="31"/>
  <c r="BA124" i="31"/>
  <c r="BA110" i="31"/>
  <c r="BA99" i="31"/>
  <c r="BJ107" i="31" l="1"/>
  <c r="BA133" i="31"/>
  <c r="BD123" i="31"/>
  <c r="BC123" i="31"/>
  <c r="BG101" i="31"/>
  <c r="BF101" i="31"/>
  <c r="BE101" i="31"/>
  <c r="Q80" i="31"/>
  <c r="BI123" i="31" s="1"/>
  <c r="BH98" i="31"/>
  <c r="BJ98" i="31" s="1"/>
  <c r="BG123" i="31" l="1"/>
  <c r="BF123" i="31"/>
  <c r="BE123" i="31"/>
  <c r="BH123" i="31"/>
  <c r="Q81" i="31"/>
  <c r="BD101" i="31"/>
  <c r="BC101" i="31"/>
  <c r="AP150" i="31"/>
  <c r="AW150" i="31" s="1"/>
  <c r="AP151" i="31"/>
  <c r="AW151" i="31" s="1"/>
  <c r="AP152" i="31"/>
  <c r="AW152" i="31" s="1"/>
  <c r="AP153" i="31"/>
  <c r="AW153" i="31" s="1"/>
  <c r="AP154" i="31"/>
  <c r="AW154" i="31" s="1"/>
  <c r="AP155" i="31"/>
  <c r="AW155" i="31" s="1"/>
  <c r="AP156" i="31"/>
  <c r="AW156" i="31" s="1"/>
  <c r="AP157" i="31"/>
  <c r="AW157" i="31" s="1"/>
  <c r="AP158" i="31"/>
  <c r="AW158" i="31" s="1"/>
  <c r="AP159" i="31"/>
  <c r="AW159" i="31" s="1"/>
  <c r="AP160" i="31"/>
  <c r="AW160" i="31" s="1"/>
  <c r="AP161" i="31"/>
  <c r="AW161" i="31" s="1"/>
  <c r="AP162" i="31"/>
  <c r="AP163" i="31"/>
  <c r="AP164" i="31"/>
  <c r="AP165" i="31"/>
  <c r="AP166" i="31"/>
  <c r="AP167" i="31"/>
  <c r="AP168" i="31"/>
  <c r="BJ101" i="31" l="1"/>
  <c r="BJ123" i="31"/>
  <c r="AV154" i="31"/>
  <c r="AU154" i="31"/>
  <c r="AT154" i="31"/>
  <c r="AS154" i="31"/>
  <c r="AR154" i="31"/>
  <c r="AQ154" i="31"/>
  <c r="AV155" i="31"/>
  <c r="AU155" i="31"/>
  <c r="AT155" i="31"/>
  <c r="AS155" i="31"/>
  <c r="AR155" i="31"/>
  <c r="AQ155" i="31"/>
  <c r="AV151" i="31"/>
  <c r="AT151" i="31"/>
  <c r="AS151" i="31"/>
  <c r="AR151" i="31"/>
  <c r="AQ151" i="31"/>
  <c r="AU151" i="31"/>
  <c r="BH132" i="31"/>
  <c r="BG132" i="31"/>
  <c r="BF132" i="31"/>
  <c r="BE132" i="31"/>
  <c r="BD132" i="31"/>
  <c r="BC132" i="31"/>
  <c r="Q82" i="31"/>
  <c r="AU158" i="31"/>
  <c r="AT158" i="31"/>
  <c r="AS158" i="31"/>
  <c r="AR158" i="31"/>
  <c r="AQ158" i="31"/>
  <c r="AV158" i="31"/>
  <c r="AU153" i="31"/>
  <c r="AT153" i="31"/>
  <c r="AS153" i="31"/>
  <c r="AR153" i="31"/>
  <c r="AQ153" i="31"/>
  <c r="AV153" i="31"/>
  <c r="AV150" i="31"/>
  <c r="AU150" i="31"/>
  <c r="AT150" i="31"/>
  <c r="AS150" i="31"/>
  <c r="AR150" i="31"/>
  <c r="AQ150" i="31"/>
  <c r="AV156" i="31"/>
  <c r="AT156" i="31"/>
  <c r="AS156" i="31"/>
  <c r="AR156" i="31"/>
  <c r="AQ156" i="31"/>
  <c r="AU156" i="31"/>
  <c r="AQ152" i="31"/>
  <c r="AV152" i="31"/>
  <c r="AU152" i="31"/>
  <c r="AT152" i="31"/>
  <c r="AR152" i="31"/>
  <c r="AS152" i="31"/>
  <c r="AV160" i="31"/>
  <c r="AU160" i="31"/>
  <c r="AT160" i="31"/>
  <c r="AS160" i="31"/>
  <c r="AR160" i="31"/>
  <c r="AQ160" i="31"/>
  <c r="AQ157" i="31"/>
  <c r="AV157" i="31"/>
  <c r="AU157" i="31"/>
  <c r="AT157" i="31"/>
  <c r="AR157" i="31"/>
  <c r="AS157" i="31"/>
  <c r="AV161" i="31"/>
  <c r="AU161" i="31"/>
  <c r="AT161" i="31"/>
  <c r="AS161" i="31"/>
  <c r="AR161" i="31"/>
  <c r="AQ161" i="31"/>
  <c r="AV159" i="31"/>
  <c r="AU159" i="31"/>
  <c r="AT159" i="31"/>
  <c r="AS159" i="31"/>
  <c r="AR159" i="31"/>
  <c r="AQ159" i="31"/>
  <c r="BJ132" i="31" l="1"/>
  <c r="BE117" i="31"/>
  <c r="BD117" i="31"/>
  <c r="BC117" i="31"/>
  <c r="BG129" i="31"/>
  <c r="BF129" i="31"/>
  <c r="BH126" i="31"/>
  <c r="Q83" i="31"/>
  <c r="BH120" i="31" l="1"/>
  <c r="BG120" i="31"/>
  <c r="BE129" i="31"/>
  <c r="BD129" i="31"/>
  <c r="BC129" i="31"/>
  <c r="Q84" i="31"/>
  <c r="BF99" i="31"/>
  <c r="BJ99" i="31" s="1"/>
  <c r="BF117" i="31" l="1"/>
  <c r="BD126" i="31"/>
  <c r="BC126" i="31"/>
  <c r="BH129" i="31"/>
  <c r="BJ129" i="31" s="1"/>
  <c r="BE120" i="31"/>
  <c r="Q85" i="31"/>
  <c r="BG117" i="31"/>
  <c r="BG126" i="31" l="1"/>
  <c r="BJ126" i="31" s="1"/>
  <c r="BE122" i="31"/>
  <c r="BD122" i="31"/>
  <c r="BF120" i="31"/>
  <c r="BJ120" i="31" s="1"/>
  <c r="BC122" i="31"/>
  <c r="BH117" i="31"/>
  <c r="BJ117" i="31" s="1"/>
  <c r="Q86" i="31"/>
  <c r="BU103" i="31" s="1"/>
  <c r="BJ122" i="31" l="1"/>
  <c r="BQ103" i="31"/>
  <c r="BR103" i="31"/>
  <c r="BP103" i="31"/>
  <c r="BO103" i="31"/>
  <c r="Q87" i="31"/>
  <c r="BU101" i="31" s="1"/>
  <c r="BS103" i="31"/>
  <c r="BT103" i="31"/>
  <c r="BK122" i="31"/>
  <c r="BV103" i="31" l="1"/>
  <c r="BK126" i="31"/>
  <c r="BK120" i="31"/>
  <c r="BK103" i="31"/>
  <c r="BK129" i="31"/>
  <c r="BQ101" i="31"/>
  <c r="BP101" i="31"/>
  <c r="BO101" i="31"/>
  <c r="Q88" i="31"/>
  <c r="BU110" i="31" s="1"/>
  <c r="BR101" i="31"/>
  <c r="BS101" i="31"/>
  <c r="BT101" i="31"/>
  <c r="BK107" i="31"/>
  <c r="BK123" i="31"/>
  <c r="BK99" i="31"/>
  <c r="BK132" i="31"/>
  <c r="BK101" i="31"/>
  <c r="BK98" i="31"/>
  <c r="BK117" i="31"/>
  <c r="BV101" i="31" l="1"/>
  <c r="BL117" i="31"/>
  <c r="BL101" i="31"/>
  <c r="BL99" i="31"/>
  <c r="BL107" i="31"/>
  <c r="BL132" i="31"/>
  <c r="Q89" i="31"/>
  <c r="BU98" i="31" s="1"/>
  <c r="BT110" i="31"/>
  <c r="BS98" i="31"/>
  <c r="BQ98" i="31"/>
  <c r="BR98" i="31"/>
  <c r="BP98" i="31"/>
  <c r="BO98" i="31"/>
  <c r="BK133" i="31"/>
  <c r="BL98" i="31"/>
  <c r="BL129" i="31"/>
  <c r="BL120" i="31"/>
  <c r="BL123" i="31"/>
  <c r="BL122" i="31"/>
  <c r="BL103" i="31"/>
  <c r="BL126" i="31"/>
  <c r="BM120" i="31" l="1"/>
  <c r="BM122" i="31"/>
  <c r="BM123" i="31"/>
  <c r="BM113" i="31"/>
  <c r="BM98" i="31"/>
  <c r="BM121" i="31"/>
  <c r="BM111" i="31"/>
  <c r="BM114" i="31"/>
  <c r="BM131" i="31"/>
  <c r="BM115" i="31"/>
  <c r="BM109" i="31"/>
  <c r="BM124" i="31"/>
  <c r="BM127" i="31"/>
  <c r="BM100" i="31"/>
  <c r="BM105" i="31"/>
  <c r="BM108" i="31"/>
  <c r="BM102" i="31"/>
  <c r="BM118" i="31"/>
  <c r="BM116" i="31"/>
  <c r="BM106" i="31"/>
  <c r="BM104" i="31"/>
  <c r="BM112" i="31"/>
  <c r="BM110" i="31"/>
  <c r="BM128" i="31"/>
  <c r="BM130" i="31"/>
  <c r="BM119" i="31"/>
  <c r="BM125" i="31"/>
  <c r="BM101" i="31"/>
  <c r="BQ105" i="31"/>
  <c r="BR110" i="31"/>
  <c r="Q90" i="31"/>
  <c r="BU105" i="31" s="1"/>
  <c r="BP105" i="31"/>
  <c r="BO105" i="31"/>
  <c r="BS110" i="31"/>
  <c r="BT98" i="31"/>
  <c r="BV98" i="31" s="1"/>
  <c r="BM99" i="31"/>
  <c r="BM107" i="31"/>
  <c r="BM117" i="31"/>
  <c r="BM126" i="31"/>
  <c r="BM129" i="31"/>
  <c r="BM103" i="31"/>
  <c r="BM132" i="31"/>
  <c r="BM133" i="31" l="1"/>
  <c r="BS105" i="31"/>
  <c r="BR105" i="31"/>
  <c r="BV105" i="31" s="1"/>
  <c r="BQ110" i="31"/>
  <c r="BP110" i="31"/>
  <c r="BO110" i="31"/>
  <c r="BT105" i="31"/>
  <c r="Q91" i="31"/>
  <c r="BU99" i="31" s="1"/>
  <c r="BV110" i="31" l="1"/>
  <c r="BO99" i="31"/>
  <c r="Q92" i="31"/>
  <c r="BQ99" i="31"/>
  <c r="BS99" i="31"/>
  <c r="BR99" i="31"/>
  <c r="BT99" i="31"/>
  <c r="BP99" i="31"/>
  <c r="BB150" i="31"/>
  <c r="BB151" i="31"/>
  <c r="BI151" i="31" s="1"/>
  <c r="BB152" i="31"/>
  <c r="BI152" i="31" s="1"/>
  <c r="BB153" i="31"/>
  <c r="BI153" i="31" s="1"/>
  <c r="BB154" i="31"/>
  <c r="BI154" i="31" s="1"/>
  <c r="BB155" i="31"/>
  <c r="BI155" i="31" s="1"/>
  <c r="BB156" i="31"/>
  <c r="BI156" i="31" s="1"/>
  <c r="BB157" i="31"/>
  <c r="BI157" i="31" s="1"/>
  <c r="BB158" i="31"/>
  <c r="BI158" i="31" s="1"/>
  <c r="BB159" i="31"/>
  <c r="BI159" i="31" s="1"/>
  <c r="BB160" i="31"/>
  <c r="BI160" i="31" s="1"/>
  <c r="BB161" i="31"/>
  <c r="BI161" i="31" s="1"/>
  <c r="BB162" i="31"/>
  <c r="BB163" i="31"/>
  <c r="BB164" i="31"/>
  <c r="BB165" i="31"/>
  <c r="BB166" i="31"/>
  <c r="BB167" i="31"/>
  <c r="BB168" i="31"/>
  <c r="BB169" i="31"/>
  <c r="BB170" i="31"/>
  <c r="BB171" i="31"/>
  <c r="BB172" i="31"/>
  <c r="BB173" i="31"/>
  <c r="BV99" i="31" l="1"/>
  <c r="BH150" i="31"/>
  <c r="BI150" i="31"/>
  <c r="BH160" i="31"/>
  <c r="BG160" i="31"/>
  <c r="BF160" i="31"/>
  <c r="BE160" i="31"/>
  <c r="BD160" i="31"/>
  <c r="BC160" i="31"/>
  <c r="BH151" i="31"/>
  <c r="BG151" i="31"/>
  <c r="BF151" i="31"/>
  <c r="BE151" i="31"/>
  <c r="BD151" i="31"/>
  <c r="BC151" i="31"/>
  <c r="BD159" i="31"/>
  <c r="BC159" i="31"/>
  <c r="BH159" i="31"/>
  <c r="BG159" i="31"/>
  <c r="BE159" i="31"/>
  <c r="BF159" i="31"/>
  <c r="BG150" i="31"/>
  <c r="BF150" i="31"/>
  <c r="BE150" i="31"/>
  <c r="BD150" i="31"/>
  <c r="BC150" i="31"/>
  <c r="BH152" i="31"/>
  <c r="BG152" i="31"/>
  <c r="BF152" i="31"/>
  <c r="BE152" i="31"/>
  <c r="BC152" i="31"/>
  <c r="BD152" i="31"/>
  <c r="BG158" i="31"/>
  <c r="BF158" i="31"/>
  <c r="BE158" i="31"/>
  <c r="BD158" i="31"/>
  <c r="BC158" i="31"/>
  <c r="BH158" i="31"/>
  <c r="BH156" i="31"/>
  <c r="BG156" i="31"/>
  <c r="BF156" i="31"/>
  <c r="BE156" i="31"/>
  <c r="BD156" i="31"/>
  <c r="BC156" i="31"/>
  <c r="BG153" i="31"/>
  <c r="BF153" i="31"/>
  <c r="BE153" i="31"/>
  <c r="BD153" i="31"/>
  <c r="BC153" i="31"/>
  <c r="BH153" i="31"/>
  <c r="BQ107" i="31"/>
  <c r="BP107" i="31"/>
  <c r="BO107" i="31"/>
  <c r="Q93" i="31"/>
  <c r="BT107" i="31"/>
  <c r="BS107" i="31"/>
  <c r="BR107" i="31"/>
  <c r="BH157" i="31"/>
  <c r="BG157" i="31"/>
  <c r="BF157" i="31"/>
  <c r="BE157" i="31"/>
  <c r="BC157" i="31"/>
  <c r="BD157" i="31"/>
  <c r="BD154" i="31"/>
  <c r="BC154" i="31"/>
  <c r="BH154" i="31"/>
  <c r="BG154" i="31"/>
  <c r="BE154" i="31"/>
  <c r="BF154" i="31"/>
  <c r="BH155" i="31"/>
  <c r="BG155" i="31"/>
  <c r="BF155" i="31"/>
  <c r="BE155" i="31"/>
  <c r="BD155" i="31"/>
  <c r="BC155" i="31"/>
  <c r="BD161" i="31"/>
  <c r="BC161" i="31"/>
  <c r="BH161" i="31"/>
  <c r="BG161" i="31"/>
  <c r="BE161" i="31"/>
  <c r="BF161" i="31"/>
  <c r="BV107" i="31" l="1"/>
  <c r="BP129" i="31"/>
  <c r="BO129" i="31"/>
  <c r="Q94" i="31"/>
  <c r="BU106" i="31" s="1"/>
  <c r="BT129" i="31"/>
  <c r="BS129" i="31"/>
  <c r="BQ129" i="31"/>
  <c r="BR129" i="31"/>
  <c r="BV129" i="31" l="1"/>
  <c r="BQ100" i="31"/>
  <c r="BP100" i="31"/>
  <c r="BO100" i="31"/>
  <c r="BT106" i="31"/>
  <c r="Q95" i="31"/>
  <c r="BU100" i="31" s="1"/>
  <c r="BS106" i="31"/>
  <c r="BR106" i="31"/>
  <c r="BO106" i="31" l="1"/>
  <c r="BT100" i="31"/>
  <c r="BS100" i="31"/>
  <c r="BR100" i="31"/>
  <c r="BV100" i="31" s="1"/>
  <c r="BQ106" i="31"/>
  <c r="BP106" i="31"/>
  <c r="BV106" i="31" l="1"/>
  <c r="BW106" i="31"/>
  <c r="BW129" i="31" l="1"/>
  <c r="BW103" i="31"/>
  <c r="BW101" i="31"/>
  <c r="BW110" i="31"/>
  <c r="BW105" i="31"/>
  <c r="BW98" i="31"/>
  <c r="BW99" i="31"/>
  <c r="BW100" i="31"/>
  <c r="BX100" i="31" l="1"/>
  <c r="BX110" i="31"/>
  <c r="BW133" i="31"/>
  <c r="BX98" i="31"/>
  <c r="BX107" i="31"/>
  <c r="BX101" i="31"/>
  <c r="BX99" i="31"/>
  <c r="BX105" i="31"/>
  <c r="BX106" i="31"/>
  <c r="BX103" i="31"/>
  <c r="BX129" i="31"/>
  <c r="BY105" i="31" l="1"/>
  <c r="BY129" i="31"/>
  <c r="BY103" i="31"/>
  <c r="BY110" i="31"/>
  <c r="BY106" i="31"/>
  <c r="BY107" i="31"/>
  <c r="BY98" i="31"/>
  <c r="BY118" i="31"/>
  <c r="BY121" i="31"/>
  <c r="BY132" i="31"/>
  <c r="BY130" i="31"/>
  <c r="BY128" i="31"/>
  <c r="BY119" i="31"/>
  <c r="BY112" i="31"/>
  <c r="BY111" i="31"/>
  <c r="BY109" i="31"/>
  <c r="BY120" i="31"/>
  <c r="BY116" i="31"/>
  <c r="BY123" i="31"/>
  <c r="BY104" i="31"/>
  <c r="BY102" i="31"/>
  <c r="BY108" i="31"/>
  <c r="BY114" i="31"/>
  <c r="BY125" i="31"/>
  <c r="BY117" i="31"/>
  <c r="BY113" i="31"/>
  <c r="BY131" i="31"/>
  <c r="BY122" i="31"/>
  <c r="BY126" i="31"/>
  <c r="BY115" i="31"/>
  <c r="BY127" i="31"/>
  <c r="BY124" i="31"/>
  <c r="BY101" i="31"/>
  <c r="BY99" i="31"/>
  <c r="BY100" i="31"/>
  <c r="BY133" i="31" l="1"/>
  <c r="BN150" i="31" l="1"/>
  <c r="BU150" i="31" s="1"/>
  <c r="BN151" i="31"/>
  <c r="BU151" i="31" s="1"/>
  <c r="BN152" i="31"/>
  <c r="BU152" i="31" s="1"/>
  <c r="BN153" i="31"/>
  <c r="BU153" i="31" s="1"/>
  <c r="BN154" i="31"/>
  <c r="BU154" i="31" s="1"/>
  <c r="BN155" i="31"/>
  <c r="BU155" i="31" s="1"/>
  <c r="BN156" i="31"/>
  <c r="BU156" i="31" s="1"/>
  <c r="BN157" i="31"/>
  <c r="BU157" i="31" s="1"/>
  <c r="BN158" i="31"/>
  <c r="BU158" i="31" s="1"/>
  <c r="BN159" i="31"/>
  <c r="BU159" i="31" s="1"/>
  <c r="BN160" i="31"/>
  <c r="BN161" i="31"/>
  <c r="BN162" i="31"/>
  <c r="BN163" i="31"/>
  <c r="BN164" i="31"/>
  <c r="BN165" i="31"/>
  <c r="BN166" i="31"/>
  <c r="BN167" i="31"/>
  <c r="BN168" i="31"/>
  <c r="BT159" i="31" l="1"/>
  <c r="BS159" i="31"/>
  <c r="BR159" i="31"/>
  <c r="BP159" i="31"/>
  <c r="BO159" i="31"/>
  <c r="BQ159" i="31"/>
  <c r="BT157" i="31"/>
  <c r="BS157" i="31"/>
  <c r="BR157" i="31"/>
  <c r="BQ157" i="31"/>
  <c r="BP157" i="31"/>
  <c r="BO157" i="31"/>
  <c r="BT154" i="31"/>
  <c r="BS154" i="31"/>
  <c r="BR154" i="31"/>
  <c r="BP154" i="31"/>
  <c r="BO154" i="31"/>
  <c r="BQ154" i="31"/>
  <c r="BT155" i="31"/>
  <c r="BS155" i="31"/>
  <c r="BR155" i="31"/>
  <c r="BQ155" i="31"/>
  <c r="BP155" i="31"/>
  <c r="BO155" i="31"/>
  <c r="BT152" i="31"/>
  <c r="BS152" i="31"/>
  <c r="BR152" i="31"/>
  <c r="BQ152" i="31"/>
  <c r="BP152" i="31"/>
  <c r="BO152" i="31"/>
  <c r="BQ151" i="31"/>
  <c r="BP151" i="31"/>
  <c r="BO151" i="31"/>
  <c r="BT151" i="31"/>
  <c r="BR151" i="31"/>
  <c r="BS151" i="31"/>
  <c r="BT158" i="31"/>
  <c r="BS158" i="31"/>
  <c r="BR158" i="31"/>
  <c r="BQ158" i="31"/>
  <c r="BP158" i="31"/>
  <c r="BO158" i="31"/>
  <c r="BQ156" i="31"/>
  <c r="BP156" i="31"/>
  <c r="BO156" i="31"/>
  <c r="BT156" i="31"/>
  <c r="BR156" i="31"/>
  <c r="BS156" i="31"/>
  <c r="BT153" i="31"/>
  <c r="BS153" i="31"/>
  <c r="BR153" i="31"/>
  <c r="BQ153" i="31"/>
  <c r="BP153" i="31"/>
  <c r="BO153" i="31"/>
  <c r="BT150" i="31"/>
  <c r="BS150" i="31"/>
  <c r="BR150" i="31"/>
  <c r="BQ150" i="31"/>
  <c r="BP150" i="31"/>
  <c r="BO150" i="31"/>
  <c r="AX48" i="28" l="1"/>
  <c r="AX49" i="28"/>
  <c r="AX50" i="28"/>
  <c r="AX51" i="28"/>
  <c r="AX52" i="28"/>
  <c r="I37" i="28"/>
  <c r="I63" i="28" s="1"/>
  <c r="I31" i="28"/>
  <c r="I59" i="28" s="1"/>
  <c r="I25" i="28"/>
  <c r="I55" i="28" s="1"/>
  <c r="I13" i="28"/>
  <c r="I42" i="28" s="1"/>
  <c r="I19" i="28"/>
  <c r="I47" i="28" s="1"/>
  <c r="CU145" i="26"/>
  <c r="P154" i="26"/>
  <c r="CG144" i="26" s="1"/>
  <c r="P122" i="26"/>
  <c r="P150" i="26" s="1"/>
  <c r="CG145" i="26"/>
  <c r="CG82" i="26"/>
  <c r="CG84" i="26" s="1"/>
  <c r="CG91" i="26"/>
  <c r="CG92" i="26"/>
  <c r="CG93" i="26"/>
  <c r="CG87" i="26"/>
  <c r="CG81" i="26"/>
  <c r="AE88" i="26"/>
  <c r="CU82" i="26"/>
  <c r="BS82" i="26"/>
  <c r="BE82" i="26"/>
  <c r="AQ82" i="26"/>
  <c r="P128" i="26"/>
  <c r="P156" i="26" s="1"/>
  <c r="CU140" i="26" s="1"/>
  <c r="CF140" i="26"/>
  <c r="P116" i="26"/>
  <c r="P147" i="26" s="1"/>
  <c r="BS143" i="26" s="1"/>
  <c r="P110" i="26"/>
  <c r="P138" i="26" s="1"/>
  <c r="BE140" i="26" s="1"/>
  <c r="P104" i="26"/>
  <c r="P132" i="26" s="1"/>
  <c r="AQ140" i="26" s="1"/>
  <c r="AB41" i="26"/>
  <c r="AB54" i="26" s="1"/>
  <c r="CU83" i="26" s="1"/>
  <c r="AB34" i="26"/>
  <c r="AB52" i="26" s="1"/>
  <c r="CG83" i="26" s="1"/>
  <c r="AB27" i="26"/>
  <c r="AB50" i="26" s="1"/>
  <c r="BS83" i="26" s="1"/>
  <c r="BS84" i="26" s="1"/>
  <c r="AB20" i="26"/>
  <c r="AB48" i="26" s="1"/>
  <c r="BE83" i="26" s="1"/>
  <c r="AB13" i="26"/>
  <c r="AQ88" i="26" s="1"/>
  <c r="AQ139" i="26"/>
  <c r="CB48" i="14"/>
  <c r="CB49" i="14"/>
  <c r="CB50" i="14"/>
  <c r="CB51" i="14"/>
  <c r="CB52" i="14"/>
  <c r="O66" i="14"/>
  <c r="O65" i="14"/>
  <c r="O64" i="14"/>
  <c r="O63" i="14"/>
  <c r="O62" i="14"/>
  <c r="N25" i="14"/>
  <c r="BO48" i="14"/>
  <c r="BO49" i="14"/>
  <c r="BO50" i="14"/>
  <c r="BO51" i="14"/>
  <c r="BO52" i="14"/>
  <c r="O61" i="14"/>
  <c r="O60" i="14"/>
  <c r="O59" i="14"/>
  <c r="O58" i="14"/>
  <c r="O57" i="14"/>
  <c r="O37" i="14"/>
  <c r="O31" i="14"/>
  <c r="O25" i="14"/>
  <c r="BB48" i="14" s="1"/>
  <c r="N19" i="14"/>
  <c r="AO51" i="14" s="1"/>
  <c r="N31" i="14"/>
  <c r="O13" i="14"/>
  <c r="AB48" i="14" s="1"/>
  <c r="CU110" i="13"/>
  <c r="CU111" i="13"/>
  <c r="CU112" i="13"/>
  <c r="CU113" i="13"/>
  <c r="CU114" i="13"/>
  <c r="CU115" i="13"/>
  <c r="CU104" i="13"/>
  <c r="CU105" i="13"/>
  <c r="CU106" i="13"/>
  <c r="CG110" i="13"/>
  <c r="CG111" i="13"/>
  <c r="CG112" i="13"/>
  <c r="CG113" i="13"/>
  <c r="CG114" i="13"/>
  <c r="CG115" i="13"/>
  <c r="CG104" i="13"/>
  <c r="CG105" i="13"/>
  <c r="CG106" i="13"/>
  <c r="BS110" i="13"/>
  <c r="BS111" i="13"/>
  <c r="BS112" i="13"/>
  <c r="BS113" i="13"/>
  <c r="BS114" i="13"/>
  <c r="BS115" i="13"/>
  <c r="BS104" i="13"/>
  <c r="BS105" i="13"/>
  <c r="BS106" i="13"/>
  <c r="AP52" i="28" l="1"/>
  <c r="AP51" i="28"/>
  <c r="AP50" i="28"/>
  <c r="AP49" i="28"/>
  <c r="AP48" i="28"/>
  <c r="AH52" i="28"/>
  <c r="AH51" i="28"/>
  <c r="AH50" i="28"/>
  <c r="AH49" i="28"/>
  <c r="AH48" i="28"/>
  <c r="Z52" i="28"/>
  <c r="Z51" i="28"/>
  <c r="Z50" i="28"/>
  <c r="Z49" i="28"/>
  <c r="Z48" i="28"/>
  <c r="I64" i="28"/>
  <c r="I58" i="28"/>
  <c r="I57" i="28"/>
  <c r="I56" i="28"/>
  <c r="I62" i="28"/>
  <c r="R52" i="28"/>
  <c r="I66" i="28"/>
  <c r="R51" i="28"/>
  <c r="I65" i="28"/>
  <c r="I61" i="28"/>
  <c r="R50" i="28"/>
  <c r="I60" i="28"/>
  <c r="R49" i="28"/>
  <c r="R48" i="28"/>
  <c r="I54" i="28"/>
  <c r="I53" i="28"/>
  <c r="I52" i="28"/>
  <c r="I46" i="28"/>
  <c r="I51" i="28"/>
  <c r="I45" i="28"/>
  <c r="I50" i="28"/>
  <c r="I44" i="28"/>
  <c r="I49" i="28"/>
  <c r="I43" i="28"/>
  <c r="I48" i="28"/>
  <c r="CG140" i="26"/>
  <c r="P153" i="26"/>
  <c r="CG143" i="26" s="1"/>
  <c r="P152" i="26"/>
  <c r="CG142" i="26" s="1"/>
  <c r="P151" i="26"/>
  <c r="CG141" i="26" s="1"/>
  <c r="CG88" i="26"/>
  <c r="CG89" i="26"/>
  <c r="CG90" i="26"/>
  <c r="BS145" i="26"/>
  <c r="BE145" i="26"/>
  <c r="AQ145" i="26"/>
  <c r="CU93" i="26"/>
  <c r="CU92" i="26"/>
  <c r="CU91" i="26"/>
  <c r="CU90" i="26"/>
  <c r="CU89" i="26"/>
  <c r="CU88" i="26"/>
  <c r="CU84" i="26"/>
  <c r="P140" i="26"/>
  <c r="BE142" i="26" s="1"/>
  <c r="P141" i="26"/>
  <c r="BE143" i="26" s="1"/>
  <c r="BS93" i="26"/>
  <c r="P142" i="26"/>
  <c r="BE144" i="26" s="1"/>
  <c r="BS92" i="26"/>
  <c r="BS91" i="26"/>
  <c r="BS90" i="26"/>
  <c r="BE84" i="26"/>
  <c r="BS89" i="26"/>
  <c r="BS88" i="26"/>
  <c r="P145" i="26"/>
  <c r="BS141" i="26" s="1"/>
  <c r="BE93" i="26"/>
  <c r="BE92" i="26"/>
  <c r="BE91" i="26"/>
  <c r="P144" i="26"/>
  <c r="BS140" i="26" s="1"/>
  <c r="BE90" i="26"/>
  <c r="BE89" i="26"/>
  <c r="BE88" i="26"/>
  <c r="AQ93" i="26"/>
  <c r="AB46" i="26"/>
  <c r="AQ83" i="26" s="1"/>
  <c r="AQ84" i="26" s="1"/>
  <c r="AQ92" i="26"/>
  <c r="AQ91" i="26"/>
  <c r="AQ90" i="26"/>
  <c r="AQ89" i="26"/>
  <c r="P146" i="26"/>
  <c r="BS142" i="26" s="1"/>
  <c r="P136" i="26"/>
  <c r="AQ144" i="26" s="1"/>
  <c r="P135" i="26"/>
  <c r="AQ143" i="26" s="1"/>
  <c r="P160" i="26"/>
  <c r="CU144" i="26" s="1"/>
  <c r="P134" i="26"/>
  <c r="AQ142" i="26" s="1"/>
  <c r="P139" i="26"/>
  <c r="BE141" i="26" s="1"/>
  <c r="P159" i="26"/>
  <c r="CU143" i="26" s="1"/>
  <c r="P133" i="26"/>
  <c r="P158" i="26"/>
  <c r="CU142" i="26" s="1"/>
  <c r="P157" i="26"/>
  <c r="CU141" i="26" s="1"/>
  <c r="P148" i="26"/>
  <c r="BS144" i="26" s="1"/>
  <c r="AO50" i="14"/>
  <c r="AO48" i="14"/>
  <c r="AO52" i="14"/>
  <c r="AO49" i="14"/>
  <c r="BB52" i="14"/>
  <c r="BB51" i="14"/>
  <c r="BB50" i="14"/>
  <c r="BB49" i="14"/>
  <c r="AB52" i="14"/>
  <c r="AB51" i="14"/>
  <c r="AB50" i="14"/>
  <c r="AB49" i="14"/>
  <c r="BE110" i="13"/>
  <c r="BE111" i="13"/>
  <c r="BE112" i="13"/>
  <c r="BE113" i="13"/>
  <c r="BE114" i="13"/>
  <c r="BE115" i="13"/>
  <c r="BE106" i="13"/>
  <c r="BE105" i="13"/>
  <c r="BE104" i="13"/>
  <c r="AQ115" i="13"/>
  <c r="AQ114" i="13"/>
  <c r="AQ113" i="13"/>
  <c r="AQ112" i="13"/>
  <c r="AQ111" i="13"/>
  <c r="P155" i="26" l="1"/>
  <c r="P143" i="26"/>
  <c r="P149" i="26"/>
  <c r="P161" i="26"/>
  <c r="P137" i="26"/>
  <c r="AQ141" i="26"/>
  <c r="AQ110" i="13" l="1"/>
  <c r="AQ106" i="13"/>
  <c r="AQ105" i="13"/>
  <c r="AQ104" i="13"/>
  <c r="AB47" i="13"/>
  <c r="AC41" i="13"/>
  <c r="AC34" i="13"/>
  <c r="AC27" i="13"/>
  <c r="AC20" i="13"/>
  <c r="AC13" i="13"/>
  <c r="AB35" i="20"/>
  <c r="AB25" i="20"/>
  <c r="AB14" i="20"/>
  <c r="T13" i="12" l="1"/>
  <c r="T6" i="12"/>
  <c r="M102" i="30"/>
  <c r="M106" i="30" s="1"/>
  <c r="J102" i="30"/>
  <c r="I102" i="30"/>
  <c r="H102" i="30"/>
  <c r="G102" i="30"/>
  <c r="F102" i="30"/>
  <c r="E102" i="30"/>
  <c r="E106" i="30" s="1"/>
  <c r="D102" i="30"/>
  <c r="C102" i="30"/>
  <c r="C106" i="30" s="1"/>
  <c r="B102" i="30"/>
  <c r="B106" i="30" s="1"/>
  <c r="H82" i="30"/>
  <c r="M78" i="30"/>
  <c r="M82" i="30" s="1"/>
  <c r="J78" i="30"/>
  <c r="J82" i="30" s="1"/>
  <c r="I78" i="30"/>
  <c r="I82" i="30" s="1"/>
  <c r="H78" i="30"/>
  <c r="G78" i="30"/>
  <c r="G82" i="30" s="1"/>
  <c r="G83" i="30" s="1"/>
  <c r="F78" i="30"/>
  <c r="F82" i="30" s="1"/>
  <c r="F83" i="30" s="1"/>
  <c r="E78" i="30"/>
  <c r="E82" i="30" s="1"/>
  <c r="E83" i="30" s="1"/>
  <c r="D78" i="30"/>
  <c r="D82" i="30" s="1"/>
  <c r="C78" i="30"/>
  <c r="C82" i="30" s="1"/>
  <c r="B78" i="30"/>
  <c r="B82" i="30" s="1"/>
  <c r="R62" i="30"/>
  <c r="F57" i="30"/>
  <c r="AB56" i="30"/>
  <c r="F56" i="30"/>
  <c r="E56" i="30"/>
  <c r="C56" i="30"/>
  <c r="B56" i="30"/>
  <c r="M55" i="30"/>
  <c r="J55" i="30"/>
  <c r="I55" i="30"/>
  <c r="H55" i="30"/>
  <c r="G55" i="30"/>
  <c r="F55" i="30"/>
  <c r="E55" i="30"/>
  <c r="D55" i="30"/>
  <c r="C55" i="30"/>
  <c r="Q54" i="30"/>
  <c r="AB52" i="30"/>
  <c r="Y52" i="30"/>
  <c r="Y56" i="30" s="1"/>
  <c r="X52" i="30"/>
  <c r="X56" i="30" s="1"/>
  <c r="W52" i="30"/>
  <c r="W56" i="30" s="1"/>
  <c r="V52" i="30"/>
  <c r="V56" i="30" s="1"/>
  <c r="U52" i="30"/>
  <c r="U56" i="30" s="1"/>
  <c r="T52" i="30"/>
  <c r="T56" i="30" s="1"/>
  <c r="S52" i="30"/>
  <c r="S56" i="30" s="1"/>
  <c r="R52" i="30"/>
  <c r="R56" i="30" s="1"/>
  <c r="M52" i="30"/>
  <c r="M56" i="30" s="1"/>
  <c r="J52" i="30"/>
  <c r="J53" i="30" s="1"/>
  <c r="I52" i="30"/>
  <c r="I53" i="30" s="1"/>
  <c r="H52" i="30"/>
  <c r="H57" i="30" s="1"/>
  <c r="G52" i="30"/>
  <c r="G56" i="30" s="1"/>
  <c r="F52" i="30"/>
  <c r="F53" i="30" s="1"/>
  <c r="E52" i="30"/>
  <c r="D52" i="30"/>
  <c r="D56" i="30" s="1"/>
  <c r="C52" i="30"/>
  <c r="B52" i="30"/>
  <c r="E53" i="30" s="1"/>
  <c r="M51" i="30"/>
  <c r="J51" i="30"/>
  <c r="I51" i="30"/>
  <c r="H51" i="30"/>
  <c r="G51" i="30"/>
  <c r="F51" i="30"/>
  <c r="E51" i="30"/>
  <c r="D51" i="30"/>
  <c r="C51" i="30"/>
  <c r="AN50" i="30"/>
  <c r="AM50" i="30"/>
  <c r="AK50" i="30"/>
  <c r="AJ50" i="30"/>
  <c r="AI50" i="30"/>
  <c r="AH50" i="30"/>
  <c r="AG50" i="30"/>
  <c r="AF50" i="30"/>
  <c r="Q50" i="30"/>
  <c r="M49" i="30"/>
  <c r="J49" i="30"/>
  <c r="I49" i="30"/>
  <c r="H49" i="30"/>
  <c r="G49" i="30"/>
  <c r="F49" i="30"/>
  <c r="E49" i="30"/>
  <c r="D49" i="30"/>
  <c r="C49" i="30"/>
  <c r="AN48" i="30"/>
  <c r="AM48" i="30"/>
  <c r="AL48" i="30"/>
  <c r="AJ48" i="30"/>
  <c r="AI48" i="30"/>
  <c r="AH48" i="30"/>
  <c r="AG48" i="30"/>
  <c r="AF48" i="30"/>
  <c r="Q48" i="30"/>
  <c r="M47" i="30"/>
  <c r="J47" i="30"/>
  <c r="I47" i="30"/>
  <c r="H47" i="30"/>
  <c r="G47" i="30"/>
  <c r="F47" i="30"/>
  <c r="E47" i="30"/>
  <c r="D47" i="30"/>
  <c r="C47" i="30"/>
  <c r="AN46" i="30"/>
  <c r="AM46" i="30"/>
  <c r="AL46" i="30"/>
  <c r="AK46" i="30"/>
  <c r="AI46" i="30"/>
  <c r="AH46" i="30"/>
  <c r="AG46" i="30"/>
  <c r="AF46" i="30"/>
  <c r="Q46" i="30"/>
  <c r="M45" i="30"/>
  <c r="J45" i="30"/>
  <c r="I45" i="30"/>
  <c r="H45" i="30"/>
  <c r="G45" i="30"/>
  <c r="F45" i="30"/>
  <c r="E45" i="30"/>
  <c r="D45" i="30"/>
  <c r="C45" i="30"/>
  <c r="AN44" i="30"/>
  <c r="AM44" i="30"/>
  <c r="AL44" i="30"/>
  <c r="AK44" i="30"/>
  <c r="AJ44" i="30"/>
  <c r="AH44" i="30"/>
  <c r="AG44" i="30"/>
  <c r="AF44" i="30"/>
  <c r="Q44" i="30"/>
  <c r="M43" i="30"/>
  <c r="J43" i="30"/>
  <c r="I43" i="30"/>
  <c r="H43" i="30"/>
  <c r="G43" i="30"/>
  <c r="F43" i="30"/>
  <c r="E43" i="30"/>
  <c r="D43" i="30"/>
  <c r="C43" i="30"/>
  <c r="AN42" i="30"/>
  <c r="AM42" i="30"/>
  <c r="AL42" i="30"/>
  <c r="AK42" i="30"/>
  <c r="AJ42" i="30"/>
  <c r="AI42" i="30"/>
  <c r="AG42" i="30"/>
  <c r="AF42" i="30"/>
  <c r="Q42" i="30"/>
  <c r="R36" i="30"/>
  <c r="AF36" i="30" s="1"/>
  <c r="AB30" i="30"/>
  <c r="E30" i="30"/>
  <c r="C30" i="30"/>
  <c r="B30" i="30"/>
  <c r="M29" i="30"/>
  <c r="J29" i="30"/>
  <c r="I29" i="30"/>
  <c r="H29" i="30"/>
  <c r="G29" i="30"/>
  <c r="F29" i="30"/>
  <c r="E29" i="30"/>
  <c r="D29" i="30"/>
  <c r="C29" i="30"/>
  <c r="Q28" i="30"/>
  <c r="AB26" i="30"/>
  <c r="Y26" i="30"/>
  <c r="Y30" i="30" s="1"/>
  <c r="X26" i="30"/>
  <c r="X30" i="30" s="1"/>
  <c r="W26" i="30"/>
  <c r="W30" i="30" s="1"/>
  <c r="V26" i="30"/>
  <c r="V30" i="30" s="1"/>
  <c r="U26" i="30"/>
  <c r="U30" i="30" s="1"/>
  <c r="T26" i="30"/>
  <c r="T30" i="30" s="1"/>
  <c r="S26" i="30"/>
  <c r="S30" i="30" s="1"/>
  <c r="R26" i="30"/>
  <c r="R30" i="30" s="1"/>
  <c r="M26" i="30"/>
  <c r="M30" i="30" s="1"/>
  <c r="J26" i="30"/>
  <c r="J27" i="30" s="1"/>
  <c r="I26" i="30"/>
  <c r="I27" i="30" s="1"/>
  <c r="H26" i="30"/>
  <c r="H30" i="30" s="1"/>
  <c r="H31" i="30" s="1"/>
  <c r="G26" i="30"/>
  <c r="G30" i="30" s="1"/>
  <c r="G31" i="30" s="1"/>
  <c r="F26" i="30"/>
  <c r="F27" i="30" s="1"/>
  <c r="E26" i="30"/>
  <c r="D26" i="30"/>
  <c r="D30" i="30" s="1"/>
  <c r="C26" i="30"/>
  <c r="B26" i="30"/>
  <c r="E27" i="30" s="1"/>
  <c r="M25" i="30"/>
  <c r="J25" i="30"/>
  <c r="I25" i="30"/>
  <c r="H25" i="30"/>
  <c r="G25" i="30"/>
  <c r="F25" i="30"/>
  <c r="E25" i="30"/>
  <c r="D25" i="30"/>
  <c r="C25" i="30"/>
  <c r="AN24" i="30"/>
  <c r="AM24" i="30"/>
  <c r="AK24" i="30"/>
  <c r="AJ24" i="30"/>
  <c r="AI24" i="30"/>
  <c r="AH24" i="30"/>
  <c r="AG24" i="30"/>
  <c r="AF24" i="30"/>
  <c r="Q24" i="30"/>
  <c r="M23" i="30"/>
  <c r="J23" i="30"/>
  <c r="I23" i="30"/>
  <c r="H23" i="30"/>
  <c r="G23" i="30"/>
  <c r="F23" i="30"/>
  <c r="E23" i="30"/>
  <c r="D23" i="30"/>
  <c r="C23" i="30"/>
  <c r="AN22" i="30"/>
  <c r="AM22" i="30"/>
  <c r="AL22" i="30"/>
  <c r="AJ22" i="30"/>
  <c r="AI22" i="30"/>
  <c r="AH22" i="30"/>
  <c r="AG22" i="30"/>
  <c r="AF22" i="30"/>
  <c r="Q22" i="30"/>
  <c r="M21" i="30"/>
  <c r="J21" i="30"/>
  <c r="I21" i="30"/>
  <c r="H21" i="30"/>
  <c r="G21" i="30"/>
  <c r="F21" i="30"/>
  <c r="E21" i="30"/>
  <c r="D21" i="30"/>
  <c r="C21" i="30"/>
  <c r="AN20" i="30"/>
  <c r="AM20" i="30"/>
  <c r="AL20" i="30"/>
  <c r="AK20" i="30"/>
  <c r="AI20" i="30"/>
  <c r="AH20" i="30"/>
  <c r="AG20" i="30"/>
  <c r="AF20" i="30"/>
  <c r="Q20" i="30"/>
  <c r="M19" i="30"/>
  <c r="J19" i="30"/>
  <c r="I19" i="30"/>
  <c r="H19" i="30"/>
  <c r="G19" i="30"/>
  <c r="F19" i="30"/>
  <c r="E19" i="30"/>
  <c r="D19" i="30"/>
  <c r="C19" i="30"/>
  <c r="AN18" i="30"/>
  <c r="AM18" i="30"/>
  <c r="AL18" i="30"/>
  <c r="AK18" i="30"/>
  <c r="AJ18" i="30"/>
  <c r="AH18" i="30"/>
  <c r="AG18" i="30"/>
  <c r="AF18" i="30"/>
  <c r="Q18" i="30"/>
  <c r="M17" i="30"/>
  <c r="J17" i="30"/>
  <c r="I17" i="30"/>
  <c r="H17" i="30"/>
  <c r="G17" i="30"/>
  <c r="F17" i="30"/>
  <c r="E17" i="30"/>
  <c r="D17" i="30"/>
  <c r="C17" i="30"/>
  <c r="AN16" i="30"/>
  <c r="AM16" i="30"/>
  <c r="AL16" i="30"/>
  <c r="AK16" i="30"/>
  <c r="AJ16" i="30"/>
  <c r="AI16" i="30"/>
  <c r="AG16" i="30"/>
  <c r="AF16" i="30"/>
  <c r="Q16" i="30"/>
  <c r="R10" i="30"/>
  <c r="AF10" i="30" s="1"/>
  <c r="E107" i="30" l="1"/>
  <c r="M107" i="30"/>
  <c r="C83" i="30"/>
  <c r="C107" i="30"/>
  <c r="D83" i="30"/>
  <c r="Q52" i="30"/>
  <c r="Q56" i="30" s="1"/>
  <c r="G103" i="30"/>
  <c r="I103" i="30"/>
  <c r="H83" i="30"/>
  <c r="F30" i="30"/>
  <c r="F31" i="30" s="1"/>
  <c r="I83" i="30"/>
  <c r="M103" i="30"/>
  <c r="E57" i="30"/>
  <c r="J83" i="30"/>
  <c r="Q26" i="30"/>
  <c r="Q30" i="30" s="1"/>
  <c r="M31" i="30"/>
  <c r="I30" i="30"/>
  <c r="I31" i="30" s="1"/>
  <c r="I56" i="30"/>
  <c r="I57" i="30" s="1"/>
  <c r="M83" i="30"/>
  <c r="F103" i="30"/>
  <c r="H103" i="30"/>
  <c r="J30" i="30"/>
  <c r="J31" i="30" s="1"/>
  <c r="J56" i="30"/>
  <c r="J57" i="30" s="1"/>
  <c r="M27" i="30"/>
  <c r="M53" i="30"/>
  <c r="H106" i="30"/>
  <c r="H107" i="30" s="1"/>
  <c r="E31" i="30"/>
  <c r="I106" i="30"/>
  <c r="I107" i="30" s="1"/>
  <c r="D31" i="30"/>
  <c r="D57" i="30"/>
  <c r="D103" i="30"/>
  <c r="J103" i="30"/>
  <c r="C103" i="30"/>
  <c r="E103" i="30"/>
  <c r="M57" i="30"/>
  <c r="C31" i="30"/>
  <c r="C57" i="30"/>
  <c r="D106" i="30"/>
  <c r="D107" i="30" s="1"/>
  <c r="C27" i="30"/>
  <c r="C53" i="30"/>
  <c r="D27" i="30"/>
  <c r="D53" i="30"/>
  <c r="F106" i="30"/>
  <c r="F107" i="30" s="1"/>
  <c r="G106" i="30"/>
  <c r="G107" i="30" s="1"/>
  <c r="G57" i="30"/>
  <c r="G27" i="30"/>
  <c r="G53" i="30"/>
  <c r="H27" i="30"/>
  <c r="H53" i="30"/>
  <c r="J106" i="30"/>
  <c r="J107" i="30" s="1"/>
  <c r="AB89" i="10" l="1"/>
  <c r="AB76" i="10"/>
  <c r="AB66" i="10"/>
  <c r="AB82" i="10"/>
  <c r="AB69" i="10"/>
  <c r="AB59" i="10"/>
  <c r="AB7" i="10"/>
  <c r="U85" i="9"/>
  <c r="U70" i="9"/>
  <c r="U106" i="9"/>
  <c r="U88" i="9"/>
  <c r="U52" i="9"/>
  <c r="U34" i="9"/>
  <c r="U16" i="9"/>
  <c r="U49" i="9"/>
  <c r="U67" i="9"/>
  <c r="U31" i="9" l="1"/>
  <c r="U13" i="9" l="1"/>
  <c r="U139" i="9"/>
  <c r="U130" i="9"/>
  <c r="U121" i="9" l="1"/>
  <c r="U88" i="8"/>
  <c r="U85" i="8"/>
  <c r="U70" i="8"/>
  <c r="U52" i="8"/>
  <c r="U49" i="8"/>
  <c r="U34" i="8"/>
  <c r="U31" i="8"/>
  <c r="U16" i="8"/>
  <c r="U13" i="8"/>
  <c r="U139" i="8"/>
  <c r="U130" i="8"/>
  <c r="U121" i="8"/>
  <c r="S12" i="7"/>
  <c r="Z60" i="6"/>
  <c r="Z31" i="6"/>
  <c r="Z27" i="6"/>
  <c r="Z23" i="6"/>
  <c r="Z19" i="6"/>
  <c r="Z15" i="6"/>
  <c r="Z11" i="6"/>
  <c r="Z49" i="6" l="1"/>
  <c r="Z38" i="6"/>
  <c r="AO35" i="3"/>
  <c r="AJ51" i="5"/>
  <c r="AJ46" i="5"/>
  <c r="L39" i="27" l="1"/>
  <c r="AJ40" i="5" l="1"/>
  <c r="AJ34" i="5"/>
  <c r="AJ27" i="5"/>
  <c r="AJ21" i="5"/>
  <c r="AJ14" i="5"/>
  <c r="AJ10" i="5"/>
  <c r="L42" i="27"/>
  <c r="L34" i="27"/>
  <c r="L17" i="27"/>
  <c r="L7" i="27"/>
  <c r="AJ8" i="4"/>
  <c r="AJ16" i="4"/>
  <c r="AJ22" i="4"/>
  <c r="AJ36" i="4"/>
  <c r="AO43" i="3"/>
  <c r="AO30" i="3"/>
  <c r="AO24" i="3"/>
  <c r="AO15" i="3" l="1"/>
  <c r="B58" i="27"/>
  <c r="C41" i="28" l="1"/>
  <c r="D41" i="28" l="1"/>
  <c r="E41" i="28" s="1"/>
  <c r="F41" i="28" s="1"/>
  <c r="G41" i="28" s="1"/>
  <c r="H41" i="28" s="1"/>
  <c r="N66" i="14"/>
  <c r="M66" i="14"/>
  <c r="N65" i="14"/>
  <c r="M65" i="14"/>
  <c r="N64" i="14"/>
  <c r="M64" i="14"/>
  <c r="N63" i="14"/>
  <c r="M63" i="14"/>
  <c r="N62" i="14"/>
  <c r="M62" i="14"/>
  <c r="M61" i="14"/>
  <c r="M60" i="14"/>
  <c r="M59" i="14"/>
  <c r="M58" i="14"/>
  <c r="M57" i="14"/>
  <c r="N56" i="14"/>
  <c r="M56" i="14"/>
  <c r="N55" i="14"/>
  <c r="M55" i="14"/>
  <c r="N54" i="14"/>
  <c r="M54" i="14"/>
  <c r="N53" i="14"/>
  <c r="M53" i="14"/>
  <c r="N52" i="14"/>
  <c r="M52" i="14"/>
  <c r="M51" i="14"/>
  <c r="M50" i="14"/>
  <c r="M49" i="14"/>
  <c r="M48" i="14"/>
  <c r="M47" i="14"/>
  <c r="N46" i="14"/>
  <c r="M46" i="14"/>
  <c r="N45" i="14"/>
  <c r="M45" i="14"/>
  <c r="N44" i="14"/>
  <c r="M44" i="14"/>
  <c r="N43" i="14"/>
  <c r="M43" i="14"/>
  <c r="N42" i="14"/>
  <c r="M42" i="14"/>
  <c r="D41" i="14"/>
  <c r="E41" i="14" s="1"/>
  <c r="F41" i="14" s="1"/>
  <c r="G41" i="14" s="1"/>
  <c r="H41" i="14" s="1"/>
  <c r="I41" i="14" s="1"/>
  <c r="J41" i="14" s="1"/>
  <c r="K41" i="14" s="1"/>
  <c r="L41" i="14" s="1"/>
  <c r="M41" i="14" s="1"/>
  <c r="N41" i="14" s="1"/>
  <c r="G31" i="28" l="1"/>
  <c r="G57" i="28" s="1"/>
  <c r="H31" i="28"/>
  <c r="H57" i="28" s="1"/>
  <c r="H13" i="28"/>
  <c r="H45" i="28" s="1"/>
  <c r="G13" i="28"/>
  <c r="G42" i="28" s="1"/>
  <c r="H37" i="28"/>
  <c r="H65" i="28" s="1"/>
  <c r="H25" i="28"/>
  <c r="H56" i="28" s="1"/>
  <c r="H19" i="28"/>
  <c r="H51" i="28" s="1"/>
  <c r="G37" i="28"/>
  <c r="G62" i="28" s="1"/>
  <c r="G25" i="28"/>
  <c r="G56" i="28" s="1"/>
  <c r="G19" i="28"/>
  <c r="G49" i="28" s="1"/>
  <c r="G66" i="28" l="1"/>
  <c r="G44" i="28"/>
  <c r="H59" i="28"/>
  <c r="H50" i="28"/>
  <c r="H64" i="28"/>
  <c r="H63" i="28"/>
  <c r="H48" i="28"/>
  <c r="H58" i="28"/>
  <c r="H43" i="28"/>
  <c r="H66" i="28"/>
  <c r="H46" i="28"/>
  <c r="G51" i="28"/>
  <c r="H62" i="28"/>
  <c r="H49" i="28"/>
  <c r="H52" i="28"/>
  <c r="H53" i="28"/>
  <c r="H44" i="28"/>
  <c r="G46" i="28"/>
  <c r="H47" i="28"/>
  <c r="H54" i="28"/>
  <c r="H42" i="28"/>
  <c r="G65" i="28"/>
  <c r="H55" i="28"/>
  <c r="G64" i="28"/>
  <c r="G59" i="28"/>
  <c r="G58" i="28"/>
  <c r="G54" i="28"/>
  <c r="G61" i="28"/>
  <c r="G60" i="28"/>
  <c r="G47" i="28"/>
  <c r="G63" i="28"/>
  <c r="H60" i="28"/>
  <c r="G55" i="28"/>
  <c r="G52" i="28"/>
  <c r="G50" i="28"/>
  <c r="H61" i="28"/>
  <c r="G53" i="28"/>
  <c r="G43" i="28"/>
  <c r="G48" i="28"/>
  <c r="G45" i="28"/>
  <c r="AW52" i="28"/>
  <c r="AV52" i="28"/>
  <c r="AN52" i="28"/>
  <c r="AG52" i="28"/>
  <c r="AF52" i="28"/>
  <c r="Y52" i="28"/>
  <c r="X52" i="28"/>
  <c r="Q52" i="28"/>
  <c r="P52" i="28"/>
  <c r="AW51" i="28"/>
  <c r="AV51" i="28"/>
  <c r="AN51" i="28"/>
  <c r="AG51" i="28"/>
  <c r="AF51" i="28"/>
  <c r="Y51" i="28"/>
  <c r="X51" i="28"/>
  <c r="Q51" i="28"/>
  <c r="P51" i="28"/>
  <c r="AW50" i="28"/>
  <c r="AV50" i="28"/>
  <c r="AN50" i="28"/>
  <c r="AG50" i="28"/>
  <c r="AF50" i="28"/>
  <c r="Y50" i="28"/>
  <c r="X50" i="28"/>
  <c r="Q50" i="28"/>
  <c r="P50" i="28"/>
  <c r="AW49" i="28"/>
  <c r="AV49" i="28"/>
  <c r="AN49" i="28"/>
  <c r="AG49" i="28"/>
  <c r="AF49" i="28"/>
  <c r="Y49" i="28"/>
  <c r="X49" i="28"/>
  <c r="Q49" i="28"/>
  <c r="P49" i="28"/>
  <c r="AW48" i="28"/>
  <c r="AV48" i="28"/>
  <c r="AN48" i="28"/>
  <c r="AG48" i="28"/>
  <c r="AF48" i="28"/>
  <c r="Y48" i="28"/>
  <c r="X48" i="28"/>
  <c r="Q48" i="28"/>
  <c r="P48" i="28"/>
  <c r="F37" i="28"/>
  <c r="E37" i="28"/>
  <c r="D37" i="28"/>
  <c r="C37" i="28"/>
  <c r="F31" i="28"/>
  <c r="E31" i="28"/>
  <c r="D31" i="28"/>
  <c r="C31" i="28"/>
  <c r="F25" i="28"/>
  <c r="E25" i="28"/>
  <c r="D25" i="28"/>
  <c r="C25" i="28"/>
  <c r="F19" i="28"/>
  <c r="E19" i="28"/>
  <c r="D19" i="28"/>
  <c r="C19" i="28"/>
  <c r="F13" i="28"/>
  <c r="E13" i="28"/>
  <c r="D13" i="28"/>
  <c r="C13" i="28"/>
  <c r="E42" i="27"/>
  <c r="B42" i="27"/>
  <c r="K34" i="27"/>
  <c r="K42" i="27" s="1"/>
  <c r="J34" i="27"/>
  <c r="J42" i="27" s="1"/>
  <c r="I34" i="27"/>
  <c r="I42" i="27" s="1"/>
  <c r="H34" i="27"/>
  <c r="H42" i="27" s="1"/>
  <c r="G34" i="27"/>
  <c r="G42" i="27" s="1"/>
  <c r="F34" i="27"/>
  <c r="F42" i="27" s="1"/>
  <c r="E34" i="27"/>
  <c r="D34" i="27"/>
  <c r="D42" i="27" s="1"/>
  <c r="B34" i="27"/>
  <c r="C17" i="27"/>
  <c r="D17" i="27" s="1"/>
  <c r="E17" i="27" s="1"/>
  <c r="F17" i="27" s="1"/>
  <c r="G17" i="27" s="1"/>
  <c r="H17" i="27" s="1"/>
  <c r="I17" i="27" s="1"/>
  <c r="J17" i="27" s="1"/>
  <c r="K17" i="27" s="1"/>
  <c r="C34" i="27" l="1"/>
  <c r="C42" i="27" s="1"/>
  <c r="D39" i="27"/>
  <c r="D45" i="27" s="1"/>
  <c r="H39" i="27"/>
  <c r="H43" i="27" s="1"/>
  <c r="I39" i="27"/>
  <c r="I44" i="27" s="1"/>
  <c r="J39" i="27"/>
  <c r="J46" i="27" s="1"/>
  <c r="B39" i="27"/>
  <c r="B46" i="27" s="1"/>
  <c r="K39" i="27"/>
  <c r="K45" i="27" s="1"/>
  <c r="C39" i="27"/>
  <c r="C46" i="27" s="1"/>
  <c r="N48" i="28"/>
  <c r="E42" i="28"/>
  <c r="E46" i="28"/>
  <c r="E45" i="28"/>
  <c r="E44" i="28"/>
  <c r="E43" i="28"/>
  <c r="T49" i="28"/>
  <c r="C48" i="28"/>
  <c r="C50" i="28"/>
  <c r="C51" i="28"/>
  <c r="C47" i="28"/>
  <c r="C49" i="28"/>
  <c r="AT49" i="28"/>
  <c r="E64" i="28"/>
  <c r="E63" i="28"/>
  <c r="E66" i="28"/>
  <c r="E65" i="28"/>
  <c r="E62" i="28"/>
  <c r="O49" i="28"/>
  <c r="F43" i="28"/>
  <c r="F44" i="28"/>
  <c r="F46" i="28"/>
  <c r="F45" i="28"/>
  <c r="F42" i="28"/>
  <c r="U50" i="28"/>
  <c r="D51" i="28"/>
  <c r="D48" i="28"/>
  <c r="D50" i="28"/>
  <c r="D49" i="28"/>
  <c r="D47" i="28"/>
  <c r="AU49" i="28"/>
  <c r="F66" i="28"/>
  <c r="F62" i="28"/>
  <c r="F64" i="28"/>
  <c r="F63" i="28"/>
  <c r="F65" i="28"/>
  <c r="W49" i="28"/>
  <c r="F48" i="28"/>
  <c r="F47" i="28"/>
  <c r="F49" i="28"/>
  <c r="F50" i="28"/>
  <c r="F51" i="28"/>
  <c r="AC52" i="28"/>
  <c r="D54" i="28"/>
  <c r="D55" i="28"/>
  <c r="D52" i="28"/>
  <c r="D56" i="28"/>
  <c r="D53" i="28"/>
  <c r="AD51" i="28"/>
  <c r="E54" i="28"/>
  <c r="E55" i="28"/>
  <c r="E53" i="28"/>
  <c r="E52" i="28"/>
  <c r="E56" i="28"/>
  <c r="AJ50" i="28"/>
  <c r="C58" i="28"/>
  <c r="C59" i="28"/>
  <c r="C57" i="28"/>
  <c r="C60" i="28"/>
  <c r="C61" i="28"/>
  <c r="AE52" i="28"/>
  <c r="F56" i="28"/>
  <c r="F54" i="28"/>
  <c r="F55" i="28"/>
  <c r="F52" i="28"/>
  <c r="F53" i="28"/>
  <c r="D57" i="28"/>
  <c r="D58" i="28"/>
  <c r="D59" i="28"/>
  <c r="D61" i="28"/>
  <c r="D60" i="28"/>
  <c r="E48" i="28"/>
  <c r="E50" i="28"/>
  <c r="E49" i="28"/>
  <c r="E47" i="28"/>
  <c r="E51" i="28"/>
  <c r="L51" i="28"/>
  <c r="C44" i="28"/>
  <c r="C46" i="28"/>
  <c r="C45" i="28"/>
  <c r="C43" i="28"/>
  <c r="C42" i="28"/>
  <c r="AL52" i="28"/>
  <c r="E59" i="28"/>
  <c r="E60" i="28"/>
  <c r="E61" i="28"/>
  <c r="E58" i="28"/>
  <c r="E57" i="28"/>
  <c r="AR52" i="28"/>
  <c r="C65" i="28"/>
  <c r="C63" i="28"/>
  <c r="C64" i="28"/>
  <c r="C62" i="28"/>
  <c r="C66" i="28"/>
  <c r="C52" i="28"/>
  <c r="C56" i="28"/>
  <c r="C54" i="28"/>
  <c r="C53" i="28"/>
  <c r="C55" i="28"/>
  <c r="M51" i="28"/>
  <c r="D46" i="28"/>
  <c r="D43" i="28"/>
  <c r="D42" i="28"/>
  <c r="D45" i="28"/>
  <c r="D44" i="28"/>
  <c r="AM48" i="28"/>
  <c r="F59" i="28"/>
  <c r="F60" i="28"/>
  <c r="F58" i="28"/>
  <c r="F57" i="28"/>
  <c r="F61" i="28"/>
  <c r="AS48" i="28"/>
  <c r="D62" i="28"/>
  <c r="D63" i="28"/>
  <c r="D65" i="28"/>
  <c r="D64" i="28"/>
  <c r="D66" i="28"/>
  <c r="N60" i="14"/>
  <c r="AJ48" i="28"/>
  <c r="AJ49" i="28"/>
  <c r="AJ51" i="28"/>
  <c r="AT51" i="28"/>
  <c r="AT48" i="28"/>
  <c r="AS50" i="28"/>
  <c r="AS52" i="28"/>
  <c r="AT50" i="28"/>
  <c r="AR49" i="28"/>
  <c r="AJ52" i="28"/>
  <c r="AM52" i="28"/>
  <c r="AL50" i="28"/>
  <c r="AL51" i="28"/>
  <c r="AM49" i="28"/>
  <c r="AL48" i="28"/>
  <c r="AC49" i="28"/>
  <c r="AD50" i="28"/>
  <c r="AE51" i="28"/>
  <c r="AD52" i="28"/>
  <c r="T48" i="28"/>
  <c r="W50" i="28"/>
  <c r="U48" i="28"/>
  <c r="W48" i="28"/>
  <c r="U49" i="28"/>
  <c r="W51" i="28"/>
  <c r="L50" i="28"/>
  <c r="O50" i="28"/>
  <c r="L48" i="28"/>
  <c r="O48" i="28"/>
  <c r="N52" i="28"/>
  <c r="V48" i="28"/>
  <c r="V49" i="28"/>
  <c r="V50" i="28"/>
  <c r="V51" i="28"/>
  <c r="V52" i="28"/>
  <c r="AK52" i="28"/>
  <c r="AK48" i="28"/>
  <c r="AK49" i="28"/>
  <c r="AK50" i="28"/>
  <c r="AK51" i="28"/>
  <c r="AB49" i="28"/>
  <c r="AB50" i="28"/>
  <c r="AB51" i="28"/>
  <c r="AB52" i="28"/>
  <c r="AU52" i="28"/>
  <c r="AU50" i="28"/>
  <c r="AU51" i="28"/>
  <c r="AU48" i="28"/>
  <c r="M52" i="28"/>
  <c r="M48" i="28"/>
  <c r="M49" i="28"/>
  <c r="M50" i="28"/>
  <c r="AB48" i="28"/>
  <c r="AC48" i="28"/>
  <c r="L49" i="28"/>
  <c r="AD49" i="28"/>
  <c r="AE50" i="28"/>
  <c r="N51" i="28"/>
  <c r="O52" i="28"/>
  <c r="T52" i="28"/>
  <c r="AT52" i="28"/>
  <c r="AD48" i="28"/>
  <c r="AE49" i="28"/>
  <c r="N50" i="28"/>
  <c r="O51" i="28"/>
  <c r="T51" i="28"/>
  <c r="U52" i="28"/>
  <c r="AE48" i="28"/>
  <c r="N49" i="28"/>
  <c r="T50" i="28"/>
  <c r="U51" i="28"/>
  <c r="AM51" i="28"/>
  <c r="AR51" i="28"/>
  <c r="AL49" i="28"/>
  <c r="AM50" i="28"/>
  <c r="AR50" i="28"/>
  <c r="AS51" i="28"/>
  <c r="W52" i="28"/>
  <c r="AR48" i="28"/>
  <c r="AS49" i="28"/>
  <c r="AC51" i="28"/>
  <c r="L52" i="28"/>
  <c r="AC50" i="28"/>
  <c r="B44" i="27"/>
  <c r="K44" i="27"/>
  <c r="D44" i="27"/>
  <c r="J45" i="27"/>
  <c r="H45" i="27"/>
  <c r="E39" i="27"/>
  <c r="E45" i="27" s="1"/>
  <c r="I43" i="27"/>
  <c r="F39" i="27"/>
  <c r="F44" i="27" s="1"/>
  <c r="J43" i="27"/>
  <c r="G39" i="27"/>
  <c r="G43" i="27" s="1"/>
  <c r="K43" i="27"/>
  <c r="D43" i="27"/>
  <c r="C14" i="27"/>
  <c r="C23" i="27" s="1"/>
  <c r="B14" i="27"/>
  <c r="B20" i="27" s="1"/>
  <c r="D14" i="27"/>
  <c r="C43" i="27" l="1"/>
  <c r="C45" i="27"/>
  <c r="D46" i="27"/>
  <c r="E43" i="27"/>
  <c r="K46" i="27"/>
  <c r="E46" i="27"/>
  <c r="B45" i="27"/>
  <c r="E44" i="27"/>
  <c r="I46" i="27"/>
  <c r="B43" i="27"/>
  <c r="C44" i="27"/>
  <c r="N57" i="14"/>
  <c r="C19" i="27"/>
  <c r="N59" i="14"/>
  <c r="D23" i="27"/>
  <c r="D19" i="27"/>
  <c r="I45" i="27"/>
  <c r="H46" i="27"/>
  <c r="J44" i="27"/>
  <c r="D18" i="27"/>
  <c r="D20" i="27"/>
  <c r="C18" i="27"/>
  <c r="B21" i="27"/>
  <c r="D21" i="27"/>
  <c r="D22" i="27"/>
  <c r="F43" i="27"/>
  <c r="H44" i="27"/>
  <c r="N58" i="14"/>
  <c r="N61" i="14"/>
  <c r="AO51" i="28"/>
  <c r="AO48" i="28"/>
  <c r="AO49" i="28"/>
  <c r="AO50" i="28"/>
  <c r="AO52" i="28"/>
  <c r="G46" i="27"/>
  <c r="G44" i="27"/>
  <c r="F45" i="27"/>
  <c r="B18" i="27"/>
  <c r="F46" i="27"/>
  <c r="B23" i="27"/>
  <c r="G45" i="27"/>
  <c r="B22" i="27"/>
  <c r="C22" i="27"/>
  <c r="C21" i="27"/>
  <c r="C20" i="27"/>
  <c r="B19" i="27"/>
  <c r="E14" i="27" l="1"/>
  <c r="E20" i="27" s="1"/>
  <c r="F14" i="27"/>
  <c r="F19" i="27" s="1"/>
  <c r="E23" i="27"/>
  <c r="C7" i="27"/>
  <c r="D7" i="27" s="1"/>
  <c r="E7" i="27" s="1"/>
  <c r="F7" i="27" s="1"/>
  <c r="G7" i="27" s="1"/>
  <c r="H7" i="27" s="1"/>
  <c r="I7" i="27" s="1"/>
  <c r="J7" i="27" s="1"/>
  <c r="K7" i="27" s="1"/>
  <c r="E22" i="27" l="1"/>
  <c r="F18" i="27"/>
  <c r="F22" i="27"/>
  <c r="F21" i="27"/>
  <c r="E18" i="27"/>
  <c r="E19" i="27"/>
  <c r="E21" i="27"/>
  <c r="F23" i="27"/>
  <c r="F20" i="27"/>
  <c r="BH161" i="15"/>
  <c r="BI161" i="15" s="1"/>
  <c r="BJ161" i="15" s="1"/>
  <c r="BK161" i="15" s="1"/>
  <c r="BL161" i="15" s="1"/>
  <c r="BM161" i="15" s="1"/>
  <c r="BN161" i="15" s="1"/>
  <c r="BO161" i="15" s="1"/>
  <c r="D7" i="28" l="1"/>
  <c r="L47" i="28"/>
  <c r="T47" i="28" s="1"/>
  <c r="AB47" i="28" s="1"/>
  <c r="AJ47" i="28" s="1"/>
  <c r="AR47" i="28" s="1"/>
  <c r="X25" i="20"/>
  <c r="W25" i="20"/>
  <c r="V25" i="20"/>
  <c r="U25" i="20"/>
  <c r="T25" i="20"/>
  <c r="S25" i="20"/>
  <c r="Y25" i="20"/>
  <c r="M47" i="28" l="1"/>
  <c r="U47" i="28" s="1"/>
  <c r="AC47" i="28" s="1"/>
  <c r="AK47" i="28" s="1"/>
  <c r="AS47" i="28" s="1"/>
  <c r="E7" i="28"/>
  <c r="Y35" i="20"/>
  <c r="X35" i="20"/>
  <c r="W35" i="20"/>
  <c r="V35" i="20"/>
  <c r="U35" i="20"/>
  <c r="T35" i="20"/>
  <c r="S35" i="20"/>
  <c r="R35" i="20"/>
  <c r="Q35" i="20"/>
  <c r="P35" i="20"/>
  <c r="O35" i="20"/>
  <c r="N35" i="20"/>
  <c r="F7" i="28" l="1"/>
  <c r="N47" i="28"/>
  <c r="V47" i="28" s="1"/>
  <c r="AD47" i="28" s="1"/>
  <c r="AL47" i="28" s="1"/>
  <c r="AT47" i="28" s="1"/>
  <c r="Z35" i="20"/>
  <c r="AA35" i="20"/>
  <c r="M28" i="20"/>
  <c r="L28" i="20" s="1"/>
  <c r="K28" i="20" s="1"/>
  <c r="J28" i="20" s="1"/>
  <c r="I28" i="20" s="1"/>
  <c r="H28" i="20" s="1"/>
  <c r="G28" i="20" s="1"/>
  <c r="F28" i="20" s="1"/>
  <c r="E28" i="20" s="1"/>
  <c r="D28" i="20" s="1"/>
  <c r="C28" i="20" s="1"/>
  <c r="B28" i="20" s="1"/>
  <c r="Z25" i="20"/>
  <c r="AA25" i="20"/>
  <c r="M18" i="20"/>
  <c r="L18" i="20"/>
  <c r="K18" i="20" s="1"/>
  <c r="J18" i="20" s="1"/>
  <c r="I18" i="20" s="1"/>
  <c r="H18" i="20" s="1"/>
  <c r="G18" i="20" s="1"/>
  <c r="F18" i="20" s="1"/>
  <c r="E18" i="20" s="1"/>
  <c r="D18" i="20" s="1"/>
  <c r="C18" i="20" s="1"/>
  <c r="B18" i="20" s="1"/>
  <c r="M7" i="20"/>
  <c r="L7" i="20" s="1"/>
  <c r="K7" i="20" s="1"/>
  <c r="J7" i="20" s="1"/>
  <c r="I7" i="20" s="1"/>
  <c r="H7" i="20" s="1"/>
  <c r="G7" i="20" s="1"/>
  <c r="F7" i="20" s="1"/>
  <c r="E7" i="20" s="1"/>
  <c r="D7" i="20" s="1"/>
  <c r="C7" i="20" s="1"/>
  <c r="B7" i="20" s="1"/>
  <c r="O47" i="28" l="1"/>
  <c r="W47" i="28" s="1"/>
  <c r="AE47" i="28" s="1"/>
  <c r="AM47" i="28" s="1"/>
  <c r="AU47" i="28" s="1"/>
  <c r="G7" i="28"/>
  <c r="P47" i="28" l="1"/>
  <c r="X47" i="28" s="1"/>
  <c r="AF47" i="28" s="1"/>
  <c r="AN47" i="28" s="1"/>
  <c r="AV47" i="28" s="1"/>
  <c r="H7" i="28"/>
  <c r="Q47" i="28" s="1"/>
  <c r="Y47" i="28" s="1"/>
  <c r="AG47" i="28" s="1"/>
  <c r="AO47" i="28" s="1"/>
  <c r="AW47" i="28" s="1"/>
  <c r="CS145" i="26" l="1"/>
  <c r="CR145" i="26"/>
  <c r="CQ145" i="26"/>
  <c r="CP145" i="26"/>
  <c r="CO145" i="26"/>
  <c r="CN145" i="26"/>
  <c r="CF145" i="26"/>
  <c r="CE145" i="26"/>
  <c r="CD145" i="26"/>
  <c r="CC145" i="26"/>
  <c r="CB145" i="26"/>
  <c r="CA145" i="26"/>
  <c r="BZ145" i="26"/>
  <c r="BQ145" i="26"/>
  <c r="BN145" i="26"/>
  <c r="BM145" i="26"/>
  <c r="BL145" i="26"/>
  <c r="BC145" i="26"/>
  <c r="AZ145" i="26"/>
  <c r="AY145" i="26"/>
  <c r="AX145" i="26"/>
  <c r="AO145" i="26"/>
  <c r="AN145" i="26"/>
  <c r="AL145" i="26"/>
  <c r="AK145" i="26"/>
  <c r="AJ145" i="26"/>
  <c r="N160" i="26" l="1"/>
  <c r="CS144" i="26" s="1"/>
  <c r="K160" i="26"/>
  <c r="CP144" i="26" s="1"/>
  <c r="J160" i="26"/>
  <c r="CO144" i="26" s="1"/>
  <c r="I160" i="26"/>
  <c r="CN144" i="26" s="1"/>
  <c r="N159" i="26"/>
  <c r="CS143" i="26" s="1"/>
  <c r="K159" i="26"/>
  <c r="CP143" i="26" s="1"/>
  <c r="J159" i="26"/>
  <c r="CO143" i="26" s="1"/>
  <c r="I159" i="26"/>
  <c r="CN143" i="26" s="1"/>
  <c r="N158" i="26"/>
  <c r="CS142" i="26" s="1"/>
  <c r="K158" i="26"/>
  <c r="J158" i="26"/>
  <c r="CO142" i="26" s="1"/>
  <c r="I158" i="26"/>
  <c r="CN142" i="26" s="1"/>
  <c r="N157" i="26"/>
  <c r="K157" i="26"/>
  <c r="CP141" i="26" s="1"/>
  <c r="J157" i="26"/>
  <c r="CO141" i="26" s="1"/>
  <c r="I157" i="26"/>
  <c r="CN141" i="26" s="1"/>
  <c r="N156" i="26"/>
  <c r="CS140" i="26" s="1"/>
  <c r="K156" i="26"/>
  <c r="CP140" i="26" s="1"/>
  <c r="J156" i="26"/>
  <c r="I156" i="26"/>
  <c r="CN140" i="26" s="1"/>
  <c r="K154" i="26"/>
  <c r="CB144" i="26" s="1"/>
  <c r="J154" i="26"/>
  <c r="CA144" i="26" s="1"/>
  <c r="I154" i="26"/>
  <c r="BZ144" i="26" s="1"/>
  <c r="K153" i="26"/>
  <c r="CB143" i="26" s="1"/>
  <c r="J153" i="26"/>
  <c r="CA143" i="26" s="1"/>
  <c r="I153" i="26"/>
  <c r="BZ143" i="26" s="1"/>
  <c r="K152" i="26"/>
  <c r="CB142" i="26" s="1"/>
  <c r="J152" i="26"/>
  <c r="CA142" i="26" s="1"/>
  <c r="I152" i="26"/>
  <c r="BZ142" i="26" s="1"/>
  <c r="K151" i="26"/>
  <c r="J151" i="26"/>
  <c r="CA141" i="26" s="1"/>
  <c r="I151" i="26"/>
  <c r="K150" i="26"/>
  <c r="CB140" i="26" s="1"/>
  <c r="J150" i="26"/>
  <c r="CA140" i="26" s="1"/>
  <c r="I150" i="26"/>
  <c r="BZ140" i="26" s="1"/>
  <c r="N148" i="26"/>
  <c r="K148" i="26"/>
  <c r="BN144" i="26" s="1"/>
  <c r="J148" i="26"/>
  <c r="I148" i="26"/>
  <c r="BL144" i="26" s="1"/>
  <c r="N147" i="26"/>
  <c r="BQ143" i="26" s="1"/>
  <c r="K147" i="26"/>
  <c r="BN143" i="26" s="1"/>
  <c r="J147" i="26"/>
  <c r="BM143" i="26" s="1"/>
  <c r="I147" i="26"/>
  <c r="BL143" i="26" s="1"/>
  <c r="N146" i="26"/>
  <c r="BQ142" i="26" s="1"/>
  <c r="K146" i="26"/>
  <c r="BN142" i="26" s="1"/>
  <c r="J146" i="26"/>
  <c r="BM142" i="26" s="1"/>
  <c r="I146" i="26"/>
  <c r="BL142" i="26" s="1"/>
  <c r="N145" i="26"/>
  <c r="BQ141" i="26" s="1"/>
  <c r="K145" i="26"/>
  <c r="BN141" i="26" s="1"/>
  <c r="J145" i="26"/>
  <c r="I145" i="26"/>
  <c r="N144" i="26"/>
  <c r="K144" i="26"/>
  <c r="BN140" i="26" s="1"/>
  <c r="J144" i="26"/>
  <c r="BM140" i="26" s="1"/>
  <c r="I144" i="26"/>
  <c r="BL140" i="26" s="1"/>
  <c r="N142" i="26"/>
  <c r="BC144" i="26" s="1"/>
  <c r="K142" i="26"/>
  <c r="AZ144" i="26" s="1"/>
  <c r="J142" i="26"/>
  <c r="AY144" i="26" s="1"/>
  <c r="I142" i="26"/>
  <c r="AX144" i="26" s="1"/>
  <c r="N141" i="26"/>
  <c r="BC143" i="26" s="1"/>
  <c r="K141" i="26"/>
  <c r="AZ143" i="26" s="1"/>
  <c r="J141" i="26"/>
  <c r="AY143" i="26" s="1"/>
  <c r="I141" i="26"/>
  <c r="AX143" i="26" s="1"/>
  <c r="N140" i="26"/>
  <c r="BC142" i="26" s="1"/>
  <c r="K140" i="26"/>
  <c r="AZ142" i="26" s="1"/>
  <c r="J140" i="26"/>
  <c r="AY142" i="26" s="1"/>
  <c r="I140" i="26"/>
  <c r="AX142" i="26" s="1"/>
  <c r="N139" i="26"/>
  <c r="N143" i="26" s="1"/>
  <c r="K139" i="26"/>
  <c r="AZ141" i="26" s="1"/>
  <c r="J139" i="26"/>
  <c r="I139" i="26"/>
  <c r="N138" i="26"/>
  <c r="K138" i="26"/>
  <c r="J138" i="26"/>
  <c r="I138" i="26"/>
  <c r="AX140" i="26" s="1"/>
  <c r="N136" i="26"/>
  <c r="M136" i="26"/>
  <c r="AN144" i="26" s="1"/>
  <c r="K136" i="26"/>
  <c r="AL144" i="26" s="1"/>
  <c r="J136" i="26"/>
  <c r="AK144" i="26" s="1"/>
  <c r="I136" i="26"/>
  <c r="AJ144" i="26" s="1"/>
  <c r="N135" i="26"/>
  <c r="AO143" i="26" s="1"/>
  <c r="M135" i="26"/>
  <c r="AN143" i="26" s="1"/>
  <c r="K135" i="26"/>
  <c r="AL143" i="26" s="1"/>
  <c r="J135" i="26"/>
  <c r="AK143" i="26" s="1"/>
  <c r="I135" i="26"/>
  <c r="AJ143" i="26" s="1"/>
  <c r="N134" i="26"/>
  <c r="AO142" i="26" s="1"/>
  <c r="M134" i="26"/>
  <c r="AN142" i="26" s="1"/>
  <c r="K134" i="26"/>
  <c r="AL142" i="26" s="1"/>
  <c r="J134" i="26"/>
  <c r="AK142" i="26" s="1"/>
  <c r="I134" i="26"/>
  <c r="N133" i="26"/>
  <c r="M133" i="26"/>
  <c r="AN141" i="26" s="1"/>
  <c r="K133" i="26"/>
  <c r="AL141" i="26" s="1"/>
  <c r="J133" i="26"/>
  <c r="AK141" i="26" s="1"/>
  <c r="I133" i="26"/>
  <c r="AJ141" i="26" s="1"/>
  <c r="N132" i="26"/>
  <c r="AO140" i="26" s="1"/>
  <c r="M132" i="26"/>
  <c r="K132" i="26"/>
  <c r="AL140" i="26" s="1"/>
  <c r="J132" i="26"/>
  <c r="I132" i="26"/>
  <c r="AJ140" i="26" s="1"/>
  <c r="BQ140" i="26"/>
  <c r="BZ141" i="26"/>
  <c r="N154" i="26"/>
  <c r="CE144" i="26" s="1"/>
  <c r="N153" i="26"/>
  <c r="CE143" i="26" s="1"/>
  <c r="N152" i="26"/>
  <c r="N151" i="26"/>
  <c r="CE141" i="26" s="1"/>
  <c r="CE142" i="26"/>
  <c r="N150" i="26"/>
  <c r="CE140" i="26" s="1"/>
  <c r="CB141" i="26"/>
  <c r="CP142" i="26"/>
  <c r="CF144" i="26"/>
  <c r="CF143" i="26"/>
  <c r="CF142" i="26"/>
  <c r="CF141" i="26"/>
  <c r="BQ144" i="26"/>
  <c r="BM144" i="26"/>
  <c r="BM141" i="26"/>
  <c r="BL141" i="26"/>
  <c r="AY141" i="26"/>
  <c r="AX141" i="26"/>
  <c r="BC140" i="26"/>
  <c r="AO144" i="26"/>
  <c r="AJ142" i="26"/>
  <c r="AD144" i="26"/>
  <c r="AD143" i="26"/>
  <c r="AD142" i="26"/>
  <c r="AD141" i="26"/>
  <c r="AD140" i="26"/>
  <c r="AP139" i="26"/>
  <c r="BD139" i="26" s="1"/>
  <c r="BR139" i="26" s="1"/>
  <c r="CF139" i="26" s="1"/>
  <c r="CT139" i="26" s="1"/>
  <c r="AO139" i="26"/>
  <c r="BC139" i="26" s="1"/>
  <c r="BQ139" i="26" s="1"/>
  <c r="CE139" i="26" s="1"/>
  <c r="CS139" i="26" s="1"/>
  <c r="AN139" i="26"/>
  <c r="BB139" i="26" s="1"/>
  <c r="BP139" i="26" s="1"/>
  <c r="CD139" i="26" s="1"/>
  <c r="CR139" i="26" s="1"/>
  <c r="AM139" i="26"/>
  <c r="BA139" i="26" s="1"/>
  <c r="BO139" i="26" s="1"/>
  <c r="CC139" i="26" s="1"/>
  <c r="CQ139" i="26" s="1"/>
  <c r="AL139" i="26"/>
  <c r="AZ139" i="26" s="1"/>
  <c r="BN139" i="26" s="1"/>
  <c r="CB139" i="26" s="1"/>
  <c r="CP139" i="26" s="1"/>
  <c r="AK139" i="26"/>
  <c r="AY139" i="26" s="1"/>
  <c r="BM139" i="26" s="1"/>
  <c r="CA139" i="26" s="1"/>
  <c r="CO139" i="26" s="1"/>
  <c r="AJ139" i="26"/>
  <c r="AX139" i="26" s="1"/>
  <c r="BL139" i="26" s="1"/>
  <c r="BZ139" i="26" s="1"/>
  <c r="CN139" i="26" s="1"/>
  <c r="AI139" i="26"/>
  <c r="AW139" i="26" s="1"/>
  <c r="BK139" i="26" s="1"/>
  <c r="BY139" i="26" s="1"/>
  <c r="CM139" i="26" s="1"/>
  <c r="AH139" i="26"/>
  <c r="AV139" i="26" s="1"/>
  <c r="BJ139" i="26" s="1"/>
  <c r="BX139" i="26" s="1"/>
  <c r="CL139" i="26" s="1"/>
  <c r="AG139" i="26"/>
  <c r="AU139" i="26" s="1"/>
  <c r="BI139" i="26" s="1"/>
  <c r="BW139" i="26" s="1"/>
  <c r="CK139" i="26" s="1"/>
  <c r="AF139" i="26"/>
  <c r="AT139" i="26" s="1"/>
  <c r="BH139" i="26" s="1"/>
  <c r="BV139" i="26" s="1"/>
  <c r="CJ139" i="26" s="1"/>
  <c r="AE139" i="26"/>
  <c r="AS139" i="26" s="1"/>
  <c r="BG139" i="26" s="1"/>
  <c r="BU139" i="26" s="1"/>
  <c r="CI139" i="26" s="1"/>
  <c r="BU145" i="26"/>
  <c r="CI145" i="26"/>
  <c r="CK145" i="26"/>
  <c r="CJ145" i="26"/>
  <c r="BW145" i="26"/>
  <c r="BV145" i="26"/>
  <c r="J161" i="26" l="1"/>
  <c r="K161" i="26"/>
  <c r="J137" i="26"/>
  <c r="I143" i="26"/>
  <c r="J143" i="26"/>
  <c r="N161" i="26"/>
  <c r="N149" i="26"/>
  <c r="N137" i="26"/>
  <c r="K143" i="26"/>
  <c r="I149" i="26"/>
  <c r="J149" i="26"/>
  <c r="CS141" i="26"/>
  <c r="CO140" i="26"/>
  <c r="J155" i="26"/>
  <c r="K137" i="26"/>
  <c r="M137" i="26"/>
  <c r="I161" i="26"/>
  <c r="K149" i="26"/>
  <c r="AY140" i="26"/>
  <c r="BC141" i="26"/>
  <c r="AZ140" i="26"/>
  <c r="I137" i="26"/>
  <c r="AK140" i="26"/>
  <c r="AO141" i="26"/>
  <c r="AN140" i="26"/>
  <c r="I155" i="26"/>
  <c r="K155" i="26"/>
  <c r="CM145" i="26"/>
  <c r="CL145" i="26"/>
  <c r="BY145" i="26"/>
  <c r="BX145" i="26"/>
  <c r="F158" i="26"/>
  <c r="CK142" i="26" s="1"/>
  <c r="E156" i="26"/>
  <c r="D158" i="26"/>
  <c r="CI142" i="26" s="1"/>
  <c r="C159" i="26"/>
  <c r="F154" i="26"/>
  <c r="BW144" i="26" s="1"/>
  <c r="E151" i="26"/>
  <c r="BV141" i="26" s="1"/>
  <c r="D151" i="26"/>
  <c r="BU141" i="26" s="1"/>
  <c r="BI145" i="26"/>
  <c r="E148" i="26"/>
  <c r="BH144" i="26" s="1"/>
  <c r="C145" i="26"/>
  <c r="AU145" i="26"/>
  <c r="E142" i="26"/>
  <c r="AT144" i="26" s="1"/>
  <c r="C140" i="26"/>
  <c r="AG145" i="26"/>
  <c r="E132" i="26"/>
  <c r="D135" i="26"/>
  <c r="AE143" i="26" s="1"/>
  <c r="C133" i="26"/>
  <c r="F153" i="26" l="1"/>
  <c r="BW143" i="26" s="1"/>
  <c r="E158" i="26"/>
  <c r="CJ142" i="26" s="1"/>
  <c r="C157" i="26"/>
  <c r="C146" i="26"/>
  <c r="C148" i="26"/>
  <c r="E133" i="26"/>
  <c r="AF141" i="26" s="1"/>
  <c r="C144" i="26"/>
  <c r="D132" i="26"/>
  <c r="AE140" i="26" s="1"/>
  <c r="AE145" i="26"/>
  <c r="C139" i="26"/>
  <c r="F157" i="26"/>
  <c r="CK141" i="26" s="1"/>
  <c r="F160" i="26"/>
  <c r="CK144" i="26" s="1"/>
  <c r="D140" i="26"/>
  <c r="AS142" i="26" s="1"/>
  <c r="AS145" i="26"/>
  <c r="E136" i="26"/>
  <c r="AF144" i="26" s="1"/>
  <c r="AF145" i="26"/>
  <c r="D145" i="26"/>
  <c r="BG141" i="26" s="1"/>
  <c r="BG145" i="26"/>
  <c r="E135" i="26"/>
  <c r="AF143" i="26" s="1"/>
  <c r="F152" i="26"/>
  <c r="BW142" i="26" s="1"/>
  <c r="D134" i="26"/>
  <c r="AE142" i="26" s="1"/>
  <c r="F159" i="26"/>
  <c r="CK143" i="26" s="1"/>
  <c r="E140" i="26"/>
  <c r="AT142" i="26" s="1"/>
  <c r="AT145" i="26"/>
  <c r="E146" i="26"/>
  <c r="BH142" i="26" s="1"/>
  <c r="BH145" i="26"/>
  <c r="D144" i="26"/>
  <c r="BG140" i="26" s="1"/>
  <c r="F150" i="26"/>
  <c r="BW140" i="26" s="1"/>
  <c r="CJ140" i="26"/>
  <c r="D153" i="26"/>
  <c r="BU143" i="26" s="1"/>
  <c r="F141" i="26"/>
  <c r="AU143" i="26" s="1"/>
  <c r="F140" i="26"/>
  <c r="AU142" i="26" s="1"/>
  <c r="F139" i="26"/>
  <c r="AU141" i="26" s="1"/>
  <c r="C134" i="26"/>
  <c r="D147" i="26"/>
  <c r="BG143" i="26" s="1"/>
  <c r="C158" i="26"/>
  <c r="E144" i="26"/>
  <c r="F138" i="26"/>
  <c r="C141" i="26"/>
  <c r="C156" i="26"/>
  <c r="F156" i="26"/>
  <c r="CK140" i="26" s="1"/>
  <c r="E153" i="26"/>
  <c r="BV143" i="26" s="1"/>
  <c r="F135" i="26"/>
  <c r="AG143" i="26" s="1"/>
  <c r="F134" i="26"/>
  <c r="AG142" i="26" s="1"/>
  <c r="F136" i="26"/>
  <c r="AG144" i="26" s="1"/>
  <c r="F132" i="26"/>
  <c r="AG140" i="26" s="1"/>
  <c r="D156" i="26"/>
  <c r="CI140" i="26" s="1"/>
  <c r="D159" i="26"/>
  <c r="CI143" i="26" s="1"/>
  <c r="D160" i="26"/>
  <c r="CI144" i="26" s="1"/>
  <c r="D157" i="26"/>
  <c r="E154" i="26"/>
  <c r="BV144" i="26" s="1"/>
  <c r="D142" i="26"/>
  <c r="AS144" i="26" s="1"/>
  <c r="C147" i="26"/>
  <c r="E139" i="26"/>
  <c r="AT141" i="26" s="1"/>
  <c r="D146" i="26"/>
  <c r="BG142" i="26" s="1"/>
  <c r="F133" i="26"/>
  <c r="C136" i="26"/>
  <c r="F151" i="26"/>
  <c r="BW141" i="26" s="1"/>
  <c r="D139" i="26"/>
  <c r="E138" i="26"/>
  <c r="E159" i="26"/>
  <c r="CJ143" i="26" s="1"/>
  <c r="E157" i="26"/>
  <c r="CJ141" i="26" s="1"/>
  <c r="E150" i="26"/>
  <c r="D138" i="26"/>
  <c r="AS140" i="26" s="1"/>
  <c r="C142" i="26"/>
  <c r="E134" i="26"/>
  <c r="AF142" i="26" s="1"/>
  <c r="D141" i="26"/>
  <c r="AS143" i="26" s="1"/>
  <c r="C132" i="26"/>
  <c r="E141" i="26"/>
  <c r="AT143" i="26" s="1"/>
  <c r="C160" i="26"/>
  <c r="D150" i="26"/>
  <c r="D154" i="26"/>
  <c r="BU144" i="26" s="1"/>
  <c r="F142" i="26"/>
  <c r="AU144" i="26" s="1"/>
  <c r="F145" i="26"/>
  <c r="BI141" i="26" s="1"/>
  <c r="F146" i="26"/>
  <c r="BI142" i="26" s="1"/>
  <c r="F147" i="26"/>
  <c r="BI143" i="26" s="1"/>
  <c r="F148" i="26"/>
  <c r="BI144" i="26" s="1"/>
  <c r="F144" i="26"/>
  <c r="AF140" i="26"/>
  <c r="E145" i="26"/>
  <c r="BH141" i="26" s="1"/>
  <c r="D133" i="26"/>
  <c r="C138" i="26"/>
  <c r="D136" i="26"/>
  <c r="AE144" i="26" s="1"/>
  <c r="E160" i="26"/>
  <c r="CJ144" i="26" s="1"/>
  <c r="E152" i="26"/>
  <c r="BV142" i="26" s="1"/>
  <c r="D148" i="26"/>
  <c r="BG144" i="26" s="1"/>
  <c r="C135" i="26"/>
  <c r="D152" i="26"/>
  <c r="BU142" i="26" s="1"/>
  <c r="E147" i="26"/>
  <c r="BH143" i="26" s="1"/>
  <c r="H151" i="26"/>
  <c r="BY141" i="26" s="1"/>
  <c r="H158" i="26"/>
  <c r="CM142" i="26" s="1"/>
  <c r="G159" i="26"/>
  <c r="CL143" i="26" s="1"/>
  <c r="G152" i="26"/>
  <c r="BX142" i="26" s="1"/>
  <c r="C143" i="26" l="1"/>
  <c r="C149" i="26"/>
  <c r="G157" i="26"/>
  <c r="G145" i="26"/>
  <c r="BJ141" i="26" s="1"/>
  <c r="BJ145" i="26"/>
  <c r="H144" i="26"/>
  <c r="BK140" i="26" s="1"/>
  <c r="BK145" i="26"/>
  <c r="H139" i="26"/>
  <c r="AW141" i="26" s="1"/>
  <c r="AW145" i="26"/>
  <c r="G160" i="26"/>
  <c r="CL144" i="26" s="1"/>
  <c r="H136" i="26"/>
  <c r="AI144" i="26" s="1"/>
  <c r="AI145" i="26"/>
  <c r="G135" i="26"/>
  <c r="AH143" i="26" s="1"/>
  <c r="AH145" i="26"/>
  <c r="G138" i="26"/>
  <c r="AV140" i="26" s="1"/>
  <c r="AV145" i="26"/>
  <c r="H148" i="26"/>
  <c r="BK144" i="26" s="1"/>
  <c r="H145" i="26"/>
  <c r="BK141" i="26" s="1"/>
  <c r="F161" i="26"/>
  <c r="F155" i="26"/>
  <c r="G132" i="26"/>
  <c r="AH140" i="26" s="1"/>
  <c r="E137" i="26"/>
  <c r="G133" i="26"/>
  <c r="AH141" i="26" s="1"/>
  <c r="H146" i="26"/>
  <c r="BK142" i="26" s="1"/>
  <c r="E143" i="26"/>
  <c r="AT140" i="26"/>
  <c r="G156" i="26"/>
  <c r="CL140" i="26" s="1"/>
  <c r="G158" i="26"/>
  <c r="CL142" i="26" s="1"/>
  <c r="H159" i="26"/>
  <c r="CM143" i="26" s="1"/>
  <c r="H132" i="26"/>
  <c r="C137" i="26"/>
  <c r="G147" i="26"/>
  <c r="BJ143" i="26" s="1"/>
  <c r="D161" i="26"/>
  <c r="CI141" i="26"/>
  <c r="G151" i="26"/>
  <c r="BX141" i="26" s="1"/>
  <c r="H133" i="26"/>
  <c r="AI141" i="26" s="1"/>
  <c r="G153" i="26"/>
  <c r="BX143" i="26" s="1"/>
  <c r="H140" i="26"/>
  <c r="AW142" i="26" s="1"/>
  <c r="G150" i="26"/>
  <c r="H150" i="26"/>
  <c r="AU140" i="26"/>
  <c r="F143" i="26"/>
  <c r="G146" i="26"/>
  <c r="BJ142" i="26" s="1"/>
  <c r="D143" i="26"/>
  <c r="AS141" i="26"/>
  <c r="G148" i="26"/>
  <c r="BJ144" i="26" s="1"/>
  <c r="H157" i="26"/>
  <c r="CM141" i="26" s="1"/>
  <c r="H142" i="26"/>
  <c r="AW144" i="26" s="1"/>
  <c r="H153" i="26"/>
  <c r="BY143" i="26" s="1"/>
  <c r="E149" i="26"/>
  <c r="BH140" i="26"/>
  <c r="G141" i="26"/>
  <c r="AV143" i="26" s="1"/>
  <c r="G154" i="26"/>
  <c r="BX144" i="26" s="1"/>
  <c r="CL141" i="26"/>
  <c r="D137" i="26"/>
  <c r="AE141" i="26"/>
  <c r="C161" i="26"/>
  <c r="G144" i="26"/>
  <c r="H152" i="26"/>
  <c r="BY142" i="26" s="1"/>
  <c r="H138" i="26"/>
  <c r="G142" i="26"/>
  <c r="AV144" i="26" s="1"/>
  <c r="H160" i="26"/>
  <c r="CM144" i="26" s="1"/>
  <c r="G134" i="26"/>
  <c r="AH142" i="26" s="1"/>
  <c r="G140" i="26"/>
  <c r="AV142" i="26" s="1"/>
  <c r="G139" i="26"/>
  <c r="AV141" i="26" s="1"/>
  <c r="D149" i="26"/>
  <c r="H147" i="26"/>
  <c r="BK143" i="26" s="1"/>
  <c r="H135" i="26"/>
  <c r="AI143" i="26" s="1"/>
  <c r="D155" i="26"/>
  <c r="BU140" i="26"/>
  <c r="H156" i="26"/>
  <c r="H141" i="26"/>
  <c r="AW143" i="26" s="1"/>
  <c r="H154" i="26"/>
  <c r="BY144" i="26" s="1"/>
  <c r="G136" i="26"/>
  <c r="AH144" i="26" s="1"/>
  <c r="F149" i="26"/>
  <c r="BI140" i="26"/>
  <c r="H134" i="26"/>
  <c r="AI142" i="26" s="1"/>
  <c r="E155" i="26"/>
  <c r="BV140" i="26"/>
  <c r="F137" i="26"/>
  <c r="AG141" i="26"/>
  <c r="E161" i="26"/>
  <c r="O156" i="26"/>
  <c r="CT140" i="26" s="1"/>
  <c r="O159" i="26"/>
  <c r="CT143" i="26" s="1"/>
  <c r="O158" i="26"/>
  <c r="CT142" i="26" s="1"/>
  <c r="O157" i="26"/>
  <c r="CT141" i="26" s="1"/>
  <c r="CT145" i="26"/>
  <c r="BD145" i="26"/>
  <c r="AP145" i="26"/>
  <c r="O134" i="26"/>
  <c r="AP142" i="26" s="1"/>
  <c r="O132" i="26"/>
  <c r="AP140" i="26" s="1"/>
  <c r="CR93" i="26"/>
  <c r="CQ93" i="26"/>
  <c r="CP93" i="26"/>
  <c r="CO93" i="26"/>
  <c r="CN93" i="26"/>
  <c r="CM93" i="26"/>
  <c r="CL93" i="26"/>
  <c r="CK93" i="26"/>
  <c r="CJ93" i="26"/>
  <c r="CI93" i="26"/>
  <c r="CR92" i="26"/>
  <c r="CQ92" i="26"/>
  <c r="CP92" i="26"/>
  <c r="CO92" i="26"/>
  <c r="CN92" i="26"/>
  <c r="CM92" i="26"/>
  <c r="CL92" i="26"/>
  <c r="CK92" i="26"/>
  <c r="CJ92" i="26"/>
  <c r="CI92" i="26"/>
  <c r="CR91" i="26"/>
  <c r="CQ91" i="26"/>
  <c r="CP91" i="26"/>
  <c r="CO91" i="26"/>
  <c r="CN91" i="26"/>
  <c r="CM91" i="26"/>
  <c r="CL91" i="26"/>
  <c r="CK91" i="26"/>
  <c r="CJ91" i="26"/>
  <c r="CI91" i="26"/>
  <c r="CR90" i="26"/>
  <c r="CQ90" i="26"/>
  <c r="CP90" i="26"/>
  <c r="CO90" i="26"/>
  <c r="CN90" i="26"/>
  <c r="CM90" i="26"/>
  <c r="CL90" i="26"/>
  <c r="CK90" i="26"/>
  <c r="CJ90" i="26"/>
  <c r="CI90" i="26"/>
  <c r="CR89" i="26"/>
  <c r="CQ89" i="26"/>
  <c r="CP89" i="26"/>
  <c r="CO89" i="26"/>
  <c r="CN89" i="26"/>
  <c r="CM89" i="26"/>
  <c r="CL89" i="26"/>
  <c r="CK89" i="26"/>
  <c r="CJ89" i="26"/>
  <c r="CI89" i="26"/>
  <c r="CR88" i="26"/>
  <c r="CQ88" i="26"/>
  <c r="CP88" i="26"/>
  <c r="CO88" i="26"/>
  <c r="CN88" i="26"/>
  <c r="CM88" i="26"/>
  <c r="CL88" i="26"/>
  <c r="CK88" i="26"/>
  <c r="CJ88" i="26"/>
  <c r="CI88" i="26"/>
  <c r="CD93" i="26"/>
  <c r="CC93" i="26"/>
  <c r="CB93" i="26"/>
  <c r="CA93" i="26"/>
  <c r="BZ93" i="26"/>
  <c r="BY93" i="26"/>
  <c r="BX93" i="26"/>
  <c r="BW93" i="26"/>
  <c r="BV93" i="26"/>
  <c r="BU93" i="26"/>
  <c r="CD92" i="26"/>
  <c r="CC92" i="26"/>
  <c r="CB92" i="26"/>
  <c r="CA92" i="26"/>
  <c r="BZ92" i="26"/>
  <c r="BY92" i="26"/>
  <c r="BX92" i="26"/>
  <c r="BW92" i="26"/>
  <c r="BV92" i="26"/>
  <c r="BU92" i="26"/>
  <c r="CD91" i="26"/>
  <c r="CC91" i="26"/>
  <c r="CB91" i="26"/>
  <c r="CA91" i="26"/>
  <c r="BZ91" i="26"/>
  <c r="BY91" i="26"/>
  <c r="BX91" i="26"/>
  <c r="BW91" i="26"/>
  <c r="BV91" i="26"/>
  <c r="BU91" i="26"/>
  <c r="CD90" i="26"/>
  <c r="CC90" i="26"/>
  <c r="CB90" i="26"/>
  <c r="CA90" i="26"/>
  <c r="BZ90" i="26"/>
  <c r="BY90" i="26"/>
  <c r="BX90" i="26"/>
  <c r="BW90" i="26"/>
  <c r="BV90" i="26"/>
  <c r="BU90" i="26"/>
  <c r="CD89" i="26"/>
  <c r="CC89" i="26"/>
  <c r="CB89" i="26"/>
  <c r="CA89" i="26"/>
  <c r="BZ89" i="26"/>
  <c r="BY89" i="26"/>
  <c r="BX89" i="26"/>
  <c r="BW89" i="26"/>
  <c r="BV89" i="26"/>
  <c r="BU89" i="26"/>
  <c r="CD88" i="26"/>
  <c r="CC88" i="26"/>
  <c r="CB88" i="26"/>
  <c r="CA88" i="26"/>
  <c r="BZ88" i="26"/>
  <c r="BY88" i="26"/>
  <c r="BX88" i="26"/>
  <c r="BW88" i="26"/>
  <c r="BV88" i="26"/>
  <c r="BU88" i="26"/>
  <c r="BQ93" i="26"/>
  <c r="BP93" i="26"/>
  <c r="BO93" i="26"/>
  <c r="BN93" i="26"/>
  <c r="BM93" i="26"/>
  <c r="BL93" i="26"/>
  <c r="BK93" i="26"/>
  <c r="BJ93" i="26"/>
  <c r="BI93" i="26"/>
  <c r="BH93" i="26"/>
  <c r="BG93" i="26"/>
  <c r="BQ92" i="26"/>
  <c r="BP92" i="26"/>
  <c r="BO92" i="26"/>
  <c r="BN92" i="26"/>
  <c r="BM92" i="26"/>
  <c r="BL92" i="26"/>
  <c r="BK92" i="26"/>
  <c r="BJ92" i="26"/>
  <c r="BI92" i="26"/>
  <c r="BH92" i="26"/>
  <c r="BG92" i="26"/>
  <c r="BQ91" i="26"/>
  <c r="BP91" i="26"/>
  <c r="BO91" i="26"/>
  <c r="BN91" i="26"/>
  <c r="BM91" i="26"/>
  <c r="BL91" i="26"/>
  <c r="BK91" i="26"/>
  <c r="BJ91" i="26"/>
  <c r="BI91" i="26"/>
  <c r="BH91" i="26"/>
  <c r="BG91" i="26"/>
  <c r="BQ90" i="26"/>
  <c r="BP90" i="26"/>
  <c r="BO90" i="26"/>
  <c r="BN90" i="26"/>
  <c r="BM90" i="26"/>
  <c r="BL90" i="26"/>
  <c r="BK90" i="26"/>
  <c r="BJ90" i="26"/>
  <c r="BI90" i="26"/>
  <c r="BH90" i="26"/>
  <c r="BG90" i="26"/>
  <c r="BQ89" i="26"/>
  <c r="BP89" i="26"/>
  <c r="BO89" i="26"/>
  <c r="BN89" i="26"/>
  <c r="BM89" i="26"/>
  <c r="BL89" i="26"/>
  <c r="BK89" i="26"/>
  <c r="BJ89" i="26"/>
  <c r="BI89" i="26"/>
  <c r="BH89" i="26"/>
  <c r="BG89" i="26"/>
  <c r="BQ88" i="26"/>
  <c r="BP88" i="26"/>
  <c r="BO88" i="26"/>
  <c r="BN88" i="26"/>
  <c r="BM88" i="26"/>
  <c r="BL88" i="26"/>
  <c r="BK88" i="26"/>
  <c r="BJ88" i="26"/>
  <c r="BI88" i="26"/>
  <c r="BH88" i="26"/>
  <c r="BG88" i="26"/>
  <c r="BC93" i="26"/>
  <c r="BB93" i="26"/>
  <c r="BA93" i="26"/>
  <c r="AZ93" i="26"/>
  <c r="AY93" i="26"/>
  <c r="AX93" i="26"/>
  <c r="AW93" i="26"/>
  <c r="AV93" i="26"/>
  <c r="AU93" i="26"/>
  <c r="AT93" i="26"/>
  <c r="AS93" i="26"/>
  <c r="BC92" i="26"/>
  <c r="BB92" i="26"/>
  <c r="BA92" i="26"/>
  <c r="AZ92" i="26"/>
  <c r="AY92" i="26"/>
  <c r="AX92" i="26"/>
  <c r="AW92" i="26"/>
  <c r="AV92" i="26"/>
  <c r="AU92" i="26"/>
  <c r="AT92" i="26"/>
  <c r="AS92" i="26"/>
  <c r="BC91" i="26"/>
  <c r="BB91" i="26"/>
  <c r="BA91" i="26"/>
  <c r="AZ91" i="26"/>
  <c r="AY91" i="26"/>
  <c r="AX91" i="26"/>
  <c r="AW91" i="26"/>
  <c r="AV91" i="26"/>
  <c r="AU91" i="26"/>
  <c r="AT91" i="26"/>
  <c r="AS91" i="26"/>
  <c r="BC90" i="26"/>
  <c r="BB90" i="26"/>
  <c r="BA90" i="26"/>
  <c r="AZ90" i="26"/>
  <c r="AY90" i="26"/>
  <c r="AX90" i="26"/>
  <c r="AW90" i="26"/>
  <c r="AV90" i="26"/>
  <c r="AU90" i="26"/>
  <c r="AT90" i="26"/>
  <c r="AS90" i="26"/>
  <c r="BC89" i="26"/>
  <c r="BB89" i="26"/>
  <c r="BA89" i="26"/>
  <c r="AZ89" i="26"/>
  <c r="AY89" i="26"/>
  <c r="AX89" i="26"/>
  <c r="AW89" i="26"/>
  <c r="AV89" i="26"/>
  <c r="AU89" i="26"/>
  <c r="AT89" i="26"/>
  <c r="AS89" i="26"/>
  <c r="BC88" i="26"/>
  <c r="BB88" i="26"/>
  <c r="BA88" i="26"/>
  <c r="AZ88" i="26"/>
  <c r="AY88" i="26"/>
  <c r="AX88" i="26"/>
  <c r="AW88" i="26"/>
  <c r="AV88" i="26"/>
  <c r="AU88" i="26"/>
  <c r="AT88" i="26"/>
  <c r="AS88" i="26"/>
  <c r="AO93" i="26"/>
  <c r="AN93" i="26"/>
  <c r="AM93" i="26"/>
  <c r="AL93" i="26"/>
  <c r="AK93" i="26"/>
  <c r="AJ93" i="26"/>
  <c r="AI93" i="26"/>
  <c r="AH93" i="26"/>
  <c r="AG93" i="26"/>
  <c r="AF93" i="26"/>
  <c r="AE93" i="26"/>
  <c r="AO92" i="26"/>
  <c r="AN92" i="26"/>
  <c r="AM92" i="26"/>
  <c r="AL92" i="26"/>
  <c r="AK92" i="26"/>
  <c r="AJ92" i="26"/>
  <c r="AI92" i="26"/>
  <c r="AH92" i="26"/>
  <c r="AG92" i="26"/>
  <c r="AF92" i="26"/>
  <c r="AE92" i="26"/>
  <c r="AO91" i="26"/>
  <c r="AN91" i="26"/>
  <c r="AM91" i="26"/>
  <c r="AL91" i="26"/>
  <c r="AK91" i="26"/>
  <c r="AJ91" i="26"/>
  <c r="AI91" i="26"/>
  <c r="AH91" i="26"/>
  <c r="AG91" i="26"/>
  <c r="AF91" i="26"/>
  <c r="AE91" i="26"/>
  <c r="AO90" i="26"/>
  <c r="AN90" i="26"/>
  <c r="AM90" i="26"/>
  <c r="AL90" i="26"/>
  <c r="AK90" i="26"/>
  <c r="AJ90" i="26"/>
  <c r="AI90" i="26"/>
  <c r="AH90" i="26"/>
  <c r="AG90" i="26"/>
  <c r="AF90" i="26"/>
  <c r="AE90" i="26"/>
  <c r="AO89" i="26"/>
  <c r="AN89" i="26"/>
  <c r="AM89" i="26"/>
  <c r="AL89" i="26"/>
  <c r="AK89" i="26"/>
  <c r="AJ89" i="26"/>
  <c r="AI89" i="26"/>
  <c r="AH89" i="26"/>
  <c r="AG89" i="26"/>
  <c r="AF89" i="26"/>
  <c r="AE89" i="26"/>
  <c r="AO88" i="26"/>
  <c r="AN88" i="26"/>
  <c r="AM88" i="26"/>
  <c r="AL88" i="26"/>
  <c r="AK88" i="26"/>
  <c r="AJ88" i="26"/>
  <c r="AI88" i="26"/>
  <c r="AH88" i="26"/>
  <c r="AG88" i="26"/>
  <c r="AF88" i="26"/>
  <c r="AP81" i="26"/>
  <c r="BD81" i="26" s="1"/>
  <c r="BR81" i="26" s="1"/>
  <c r="CF81" i="26" s="1"/>
  <c r="CT81" i="26" s="1"/>
  <c r="AO81" i="26"/>
  <c r="BC81" i="26" s="1"/>
  <c r="BQ81" i="26" s="1"/>
  <c r="CE81" i="26" s="1"/>
  <c r="CS81" i="26" s="1"/>
  <c r="AN81" i="26"/>
  <c r="AN87" i="26" s="1"/>
  <c r="BB87" i="26" s="1"/>
  <c r="BP87" i="26" s="1"/>
  <c r="CD87" i="26" s="1"/>
  <c r="CR87" i="26" s="1"/>
  <c r="AM81" i="26"/>
  <c r="AM87" i="26" s="1"/>
  <c r="BA87" i="26" s="1"/>
  <c r="BO87" i="26" s="1"/>
  <c r="CC87" i="26" s="1"/>
  <c r="CQ87" i="26" s="1"/>
  <c r="AL81" i="26"/>
  <c r="AL87" i="26" s="1"/>
  <c r="AZ87" i="26" s="1"/>
  <c r="BN87" i="26" s="1"/>
  <c r="CB87" i="26" s="1"/>
  <c r="CP87" i="26" s="1"/>
  <c r="AK81" i="26"/>
  <c r="AK87" i="26" s="1"/>
  <c r="AY87" i="26" s="1"/>
  <c r="BM87" i="26" s="1"/>
  <c r="CA87" i="26" s="1"/>
  <c r="CO87" i="26" s="1"/>
  <c r="AJ81" i="26"/>
  <c r="AX81" i="26" s="1"/>
  <c r="BL81" i="26" s="1"/>
  <c r="BZ81" i="26" s="1"/>
  <c r="CN81" i="26" s="1"/>
  <c r="AI81" i="26"/>
  <c r="AW81" i="26" s="1"/>
  <c r="BK81" i="26" s="1"/>
  <c r="BY81" i="26" s="1"/>
  <c r="CM81" i="26" s="1"/>
  <c r="AH81" i="26"/>
  <c r="AV81" i="26" s="1"/>
  <c r="BJ81" i="26" s="1"/>
  <c r="BX81" i="26" s="1"/>
  <c r="CL81" i="26" s="1"/>
  <c r="AG81" i="26"/>
  <c r="AG87" i="26" s="1"/>
  <c r="AU87" i="26" s="1"/>
  <c r="BI87" i="26" s="1"/>
  <c r="BW87" i="26" s="1"/>
  <c r="CK87" i="26" s="1"/>
  <c r="AF81" i="26"/>
  <c r="AF87" i="26" s="1"/>
  <c r="AT87" i="26" s="1"/>
  <c r="BH87" i="26" s="1"/>
  <c r="BV87" i="26" s="1"/>
  <c r="CJ87" i="26" s="1"/>
  <c r="AE81" i="26"/>
  <c r="AE87" i="26" s="1"/>
  <c r="AS87" i="26" s="1"/>
  <c r="BG87" i="26" s="1"/>
  <c r="BU87" i="26" s="1"/>
  <c r="CI87" i="26" s="1"/>
  <c r="AA44" i="26"/>
  <c r="AA53" i="26"/>
  <c r="CT82" i="26" s="1"/>
  <c r="AA51" i="26"/>
  <c r="CF82" i="26" s="1"/>
  <c r="AA49" i="26"/>
  <c r="BR82" i="26" s="1"/>
  <c r="AA47" i="26"/>
  <c r="BD82" i="26" s="1"/>
  <c r="AA45" i="26"/>
  <c r="AP82" i="26" s="1"/>
  <c r="O133" i="26" l="1"/>
  <c r="AP141" i="26" s="1"/>
  <c r="H149" i="26"/>
  <c r="O160" i="26"/>
  <c r="CT144" i="26" s="1"/>
  <c r="O135" i="26"/>
  <c r="AP143" i="26" s="1"/>
  <c r="O136" i="26"/>
  <c r="AP144" i="26" s="1"/>
  <c r="O144" i="26"/>
  <c r="BR140" i="26" s="1"/>
  <c r="O145" i="26"/>
  <c r="BR141" i="26" s="1"/>
  <c r="O148" i="26"/>
  <c r="BR144" i="26" s="1"/>
  <c r="BR145" i="26"/>
  <c r="BJ140" i="26"/>
  <c r="G149" i="26"/>
  <c r="O139" i="26"/>
  <c r="BD141" i="26" s="1"/>
  <c r="O146" i="26"/>
  <c r="BR142" i="26" s="1"/>
  <c r="CM140" i="26"/>
  <c r="H161" i="26"/>
  <c r="G137" i="26"/>
  <c r="H143" i="26"/>
  <c r="AW140" i="26"/>
  <c r="O138" i="26"/>
  <c r="BD140" i="26" s="1"/>
  <c r="O140" i="26"/>
  <c r="BD142" i="26" s="1"/>
  <c r="O147" i="26"/>
  <c r="BR143" i="26" s="1"/>
  <c r="O141" i="26"/>
  <c r="BD143" i="26" s="1"/>
  <c r="BY140" i="26"/>
  <c r="H155" i="26"/>
  <c r="G143" i="26"/>
  <c r="O142" i="26"/>
  <c r="BD144" i="26" s="1"/>
  <c r="BX140" i="26"/>
  <c r="G155" i="26"/>
  <c r="G161" i="26"/>
  <c r="H137" i="26"/>
  <c r="AI140" i="26"/>
  <c r="AT81" i="26"/>
  <c r="BH81" i="26" s="1"/>
  <c r="BV81" i="26" s="1"/>
  <c r="CJ81" i="26" s="1"/>
  <c r="AY81" i="26"/>
  <c r="BM81" i="26" s="1"/>
  <c r="CA81" i="26" s="1"/>
  <c r="CO81" i="26" s="1"/>
  <c r="AZ81" i="26"/>
  <c r="BN81" i="26" s="1"/>
  <c r="CB81" i="26" s="1"/>
  <c r="CP81" i="26" s="1"/>
  <c r="BB81" i="26"/>
  <c r="BP81" i="26" s="1"/>
  <c r="CD81" i="26" s="1"/>
  <c r="CR81" i="26" s="1"/>
  <c r="AS81" i="26"/>
  <c r="BG81" i="26" s="1"/>
  <c r="BU81" i="26" s="1"/>
  <c r="CI81" i="26" s="1"/>
  <c r="BA81" i="26"/>
  <c r="BO81" i="26" s="1"/>
  <c r="CC81" i="26" s="1"/>
  <c r="CQ81" i="26" s="1"/>
  <c r="AI87" i="26"/>
  <c r="AW87" i="26" s="1"/>
  <c r="BK87" i="26" s="1"/>
  <c r="BY87" i="26" s="1"/>
  <c r="CM87" i="26" s="1"/>
  <c r="AO87" i="26"/>
  <c r="BC87" i="26" s="1"/>
  <c r="BQ87" i="26" s="1"/>
  <c r="CE87" i="26" s="1"/>
  <c r="CS87" i="26" s="1"/>
  <c r="AJ87" i="26"/>
  <c r="AX87" i="26" s="1"/>
  <c r="BL87" i="26" s="1"/>
  <c r="BZ87" i="26" s="1"/>
  <c r="CN87" i="26" s="1"/>
  <c r="AP87" i="26"/>
  <c r="BD87" i="26" s="1"/>
  <c r="BR87" i="26" s="1"/>
  <c r="CF87" i="26" s="1"/>
  <c r="CT87" i="26" s="1"/>
  <c r="AU81" i="26"/>
  <c r="BI81" i="26" s="1"/>
  <c r="BW81" i="26" s="1"/>
  <c r="CK81" i="26" s="1"/>
  <c r="AH87" i="26"/>
  <c r="AV87" i="26" s="1"/>
  <c r="BJ87" i="26" s="1"/>
  <c r="BX87" i="26" s="1"/>
  <c r="CL87" i="26" s="1"/>
  <c r="AA34" i="26"/>
  <c r="CF92" i="26" s="1"/>
  <c r="AA20" i="26"/>
  <c r="AA13" i="26"/>
  <c r="AP89" i="26" s="1"/>
  <c r="AA27" i="26"/>
  <c r="BR88" i="26" s="1"/>
  <c r="AA41" i="26"/>
  <c r="CT89" i="26" s="1"/>
  <c r="O161" i="26" l="1"/>
  <c r="O137" i="26"/>
  <c r="O143" i="26"/>
  <c r="O149" i="26"/>
  <c r="CT90" i="26"/>
  <c r="CT92" i="26"/>
  <c r="BR93" i="26"/>
  <c r="AA48" i="26"/>
  <c r="BD83" i="26" s="1"/>
  <c r="BD84" i="26" s="1"/>
  <c r="BD89" i="26"/>
  <c r="BD93" i="26"/>
  <c r="AP92" i="26"/>
  <c r="AP90" i="26"/>
  <c r="CT91" i="26"/>
  <c r="CF90" i="26"/>
  <c r="BD92" i="26"/>
  <c r="BD91" i="26"/>
  <c r="AA52" i="26"/>
  <c r="CF83" i="26" s="1"/>
  <c r="CF84" i="26" s="1"/>
  <c r="CF93" i="26"/>
  <c r="CF89" i="26"/>
  <c r="CF91" i="26"/>
  <c r="BD90" i="26"/>
  <c r="AA54" i="26"/>
  <c r="CT83" i="26" s="1"/>
  <c r="CT84" i="26" s="1"/>
  <c r="CT93" i="26"/>
  <c r="AA50" i="26"/>
  <c r="BR83" i="26" s="1"/>
  <c r="BR84" i="26" s="1"/>
  <c r="BR91" i="26"/>
  <c r="BR89" i="26"/>
  <c r="BR90" i="26"/>
  <c r="CT88" i="26"/>
  <c r="BR92" i="26"/>
  <c r="AA46" i="26"/>
  <c r="AP83" i="26" s="1"/>
  <c r="AP84" i="26" s="1"/>
  <c r="AP93" i="26"/>
  <c r="AP88" i="26"/>
  <c r="AP91" i="26"/>
  <c r="BD88" i="26"/>
  <c r="CF88" i="26"/>
  <c r="AA99" i="15" l="1"/>
  <c r="AA100" i="15"/>
  <c r="AA102" i="15"/>
  <c r="AA104" i="15"/>
  <c r="AA105" i="15"/>
  <c r="AA106" i="15"/>
  <c r="AA108" i="15"/>
  <c r="AA109" i="15"/>
  <c r="AA110" i="15"/>
  <c r="AA114" i="15"/>
  <c r="AA115" i="15"/>
  <c r="AA116" i="15"/>
  <c r="AA117" i="15"/>
  <c r="AA118" i="15"/>
  <c r="AA119" i="15"/>
  <c r="AA120" i="15"/>
  <c r="AA121" i="15"/>
  <c r="AA122" i="15"/>
  <c r="AA123" i="15"/>
  <c r="AA125" i="15"/>
  <c r="AA126" i="15"/>
  <c r="AA127" i="15"/>
  <c r="AA128" i="15"/>
  <c r="AA130" i="15"/>
  <c r="AA131" i="15"/>
  <c r="AA132" i="15"/>
  <c r="CU132" i="15"/>
  <c r="CT132" i="15"/>
  <c r="CS132" i="15"/>
  <c r="CR132" i="15"/>
  <c r="CQ132" i="15"/>
  <c r="CP132" i="15"/>
  <c r="CO132" i="15"/>
  <c r="CN132" i="15"/>
  <c r="CM132" i="15"/>
  <c r="CL132" i="15"/>
  <c r="CE132" i="15"/>
  <c r="BX132" i="15"/>
  <c r="AZ132" i="15"/>
  <c r="AY132" i="15"/>
  <c r="AX132" i="15"/>
  <c r="AW132" i="15"/>
  <c r="AV132" i="15"/>
  <c r="AU132" i="15"/>
  <c r="AT132" i="15"/>
  <c r="AS132" i="15"/>
  <c r="AR132" i="15"/>
  <c r="AQ132" i="15"/>
  <c r="AI132" i="15"/>
  <c r="AH132" i="15"/>
  <c r="AG132" i="15"/>
  <c r="AF132" i="15"/>
  <c r="AE132" i="15"/>
  <c r="AD132" i="15"/>
  <c r="AC132" i="15"/>
  <c r="AB132" i="15"/>
  <c r="CU131" i="15"/>
  <c r="CT131" i="15"/>
  <c r="CS131" i="15"/>
  <c r="CR131" i="15"/>
  <c r="CQ131" i="15"/>
  <c r="CP131" i="15"/>
  <c r="CO131" i="15"/>
  <c r="CN131" i="15"/>
  <c r="CM131" i="15"/>
  <c r="CL131" i="15"/>
  <c r="CE131" i="15"/>
  <c r="CD131" i="15"/>
  <c r="CC131" i="15"/>
  <c r="BZ131" i="15"/>
  <c r="BY131" i="15"/>
  <c r="BX131" i="15"/>
  <c r="BW131" i="15"/>
  <c r="BV131" i="15"/>
  <c r="BO131" i="15"/>
  <c r="BN131" i="15"/>
  <c r="BM131" i="15"/>
  <c r="BL131" i="15"/>
  <c r="BK131" i="15"/>
  <c r="BJ131" i="15"/>
  <c r="BI131" i="15"/>
  <c r="BH131" i="15"/>
  <c r="BG131" i="15"/>
  <c r="BF131" i="15"/>
  <c r="AZ131" i="15"/>
  <c r="AY131" i="15"/>
  <c r="AX131" i="15"/>
  <c r="AW131" i="15"/>
  <c r="AV131" i="15"/>
  <c r="AU131" i="15"/>
  <c r="AT131" i="15"/>
  <c r="AS131" i="15"/>
  <c r="AR131" i="15"/>
  <c r="AQ131" i="15"/>
  <c r="AI131" i="15"/>
  <c r="AH131" i="15"/>
  <c r="AG131" i="15"/>
  <c r="AF131" i="15"/>
  <c r="AE131" i="15"/>
  <c r="AD131" i="15"/>
  <c r="AC131" i="15"/>
  <c r="AB131" i="15"/>
  <c r="CU130" i="15"/>
  <c r="CT130" i="15"/>
  <c r="CS130" i="15"/>
  <c r="CR130" i="15"/>
  <c r="CQ130" i="15"/>
  <c r="CP130" i="15"/>
  <c r="CO130" i="15"/>
  <c r="CN130" i="15"/>
  <c r="CM130" i="15"/>
  <c r="CL130" i="15"/>
  <c r="CE130" i="15"/>
  <c r="CD130" i="15"/>
  <c r="CC130" i="15"/>
  <c r="CB130" i="15"/>
  <c r="CA130" i="15"/>
  <c r="BZ130" i="15"/>
  <c r="BY130" i="15"/>
  <c r="BX130" i="15"/>
  <c r="BW130" i="15"/>
  <c r="BV130" i="15"/>
  <c r="BO130" i="15"/>
  <c r="BN130" i="15"/>
  <c r="BM130" i="15"/>
  <c r="BL130" i="15"/>
  <c r="BK130" i="15"/>
  <c r="BJ130" i="15"/>
  <c r="BI130" i="15"/>
  <c r="BH130" i="15"/>
  <c r="BG130" i="15"/>
  <c r="BF130" i="15"/>
  <c r="BQ130" i="15" s="1"/>
  <c r="AT130" i="15"/>
  <c r="AI130" i="15"/>
  <c r="AH130" i="15"/>
  <c r="AG130" i="15"/>
  <c r="AF130" i="15"/>
  <c r="AE130" i="15"/>
  <c r="AD130" i="15"/>
  <c r="AC130" i="15"/>
  <c r="AB130" i="15"/>
  <c r="CM129" i="15"/>
  <c r="CL129" i="15"/>
  <c r="CE129" i="15"/>
  <c r="CB129" i="15"/>
  <c r="CA129" i="15"/>
  <c r="BZ129" i="15"/>
  <c r="BY129" i="15"/>
  <c r="BX129" i="15"/>
  <c r="BW129" i="15"/>
  <c r="BV129" i="15"/>
  <c r="CU128" i="15"/>
  <c r="CT128" i="15"/>
  <c r="CS128" i="15"/>
  <c r="CR128" i="15"/>
  <c r="CQ128" i="15"/>
  <c r="CP128" i="15"/>
  <c r="CO128" i="15"/>
  <c r="CN128" i="15"/>
  <c r="CM128" i="15"/>
  <c r="CL128" i="15"/>
  <c r="CE128" i="15"/>
  <c r="CD128" i="15"/>
  <c r="CC128" i="15"/>
  <c r="CB128" i="15"/>
  <c r="CA128" i="15"/>
  <c r="BZ128" i="15"/>
  <c r="BY128" i="15"/>
  <c r="BX128" i="15"/>
  <c r="BW128" i="15"/>
  <c r="BV128" i="15"/>
  <c r="BO128" i="15"/>
  <c r="BN128" i="15"/>
  <c r="BM128" i="15"/>
  <c r="BL128" i="15"/>
  <c r="BK128" i="15"/>
  <c r="BJ128" i="15"/>
  <c r="BI128" i="15"/>
  <c r="BH128" i="15"/>
  <c r="BG128" i="15"/>
  <c r="BF128" i="15"/>
  <c r="AZ128" i="15"/>
  <c r="AY128" i="15"/>
  <c r="AX128" i="15"/>
  <c r="AW128" i="15"/>
  <c r="AV128" i="15"/>
  <c r="AU128" i="15"/>
  <c r="AT128" i="15"/>
  <c r="AS128" i="15"/>
  <c r="AR128" i="15"/>
  <c r="AQ128" i="15"/>
  <c r="AI128" i="15"/>
  <c r="AH128" i="15"/>
  <c r="AG128" i="15"/>
  <c r="AF128" i="15"/>
  <c r="AE128" i="15"/>
  <c r="AD128" i="15"/>
  <c r="AC128" i="15"/>
  <c r="AB128" i="15"/>
  <c r="CU127" i="15"/>
  <c r="CT127" i="15"/>
  <c r="CS127" i="15"/>
  <c r="CR127" i="15"/>
  <c r="CQ127" i="15"/>
  <c r="CP127" i="15"/>
  <c r="CO127" i="15"/>
  <c r="CN127" i="15"/>
  <c r="CM127" i="15"/>
  <c r="CL127" i="15"/>
  <c r="CE127" i="15"/>
  <c r="CD127" i="15"/>
  <c r="CC127" i="15"/>
  <c r="CB127" i="15"/>
  <c r="CA127" i="15"/>
  <c r="BZ127" i="15"/>
  <c r="BY127" i="15"/>
  <c r="BX127" i="15"/>
  <c r="BW127" i="15"/>
  <c r="BV127" i="15"/>
  <c r="BO127" i="15"/>
  <c r="BN127" i="15"/>
  <c r="BM127" i="15"/>
  <c r="BL127" i="15"/>
  <c r="BK127" i="15"/>
  <c r="BJ127" i="15"/>
  <c r="BI127" i="15"/>
  <c r="BH127" i="15"/>
  <c r="BG127" i="15"/>
  <c r="BF127" i="15"/>
  <c r="AZ127" i="15"/>
  <c r="AY127" i="15"/>
  <c r="AX127" i="15"/>
  <c r="AW127" i="15"/>
  <c r="AV127" i="15"/>
  <c r="AU127" i="15"/>
  <c r="AT127" i="15"/>
  <c r="AS127" i="15"/>
  <c r="AR127" i="15"/>
  <c r="AQ127" i="15"/>
  <c r="AI127" i="15"/>
  <c r="AH127" i="15"/>
  <c r="AG127" i="15"/>
  <c r="AF127" i="15"/>
  <c r="AE127" i="15"/>
  <c r="AD127" i="15"/>
  <c r="AC127" i="15"/>
  <c r="AB127" i="15"/>
  <c r="CU126" i="15"/>
  <c r="CT126" i="15"/>
  <c r="CS126" i="15"/>
  <c r="CR126" i="15"/>
  <c r="CQ126" i="15"/>
  <c r="CP126" i="15"/>
  <c r="CO126" i="15"/>
  <c r="CN126" i="15"/>
  <c r="CM126" i="15"/>
  <c r="CL126" i="15"/>
  <c r="BV126" i="15"/>
  <c r="BI126" i="15"/>
  <c r="BF126" i="15"/>
  <c r="AZ126" i="15"/>
  <c r="AY126" i="15"/>
  <c r="AX126" i="15"/>
  <c r="AW126" i="15"/>
  <c r="AV126" i="15"/>
  <c r="AU126" i="15"/>
  <c r="AT126" i="15"/>
  <c r="AS126" i="15"/>
  <c r="AR126" i="15"/>
  <c r="AQ126" i="15"/>
  <c r="AE126" i="15"/>
  <c r="AD126" i="15"/>
  <c r="AC126" i="15"/>
  <c r="AB126" i="15"/>
  <c r="CU125" i="15"/>
  <c r="CT125" i="15"/>
  <c r="CS125" i="15"/>
  <c r="CR125" i="15"/>
  <c r="CQ125" i="15"/>
  <c r="CP125" i="15"/>
  <c r="CO125" i="15"/>
  <c r="CN125" i="15"/>
  <c r="CM125" i="15"/>
  <c r="CL125" i="15"/>
  <c r="CE125" i="15"/>
  <c r="CD125" i="15"/>
  <c r="CC125" i="15"/>
  <c r="CB125" i="15"/>
  <c r="CA125" i="15"/>
  <c r="BZ125" i="15"/>
  <c r="BY125" i="15"/>
  <c r="BX125" i="15"/>
  <c r="BW125" i="15"/>
  <c r="BV125" i="15"/>
  <c r="BO125" i="15"/>
  <c r="BN125" i="15"/>
  <c r="BM125" i="15"/>
  <c r="BL125" i="15"/>
  <c r="BK125" i="15"/>
  <c r="BJ125" i="15"/>
  <c r="BI125" i="15"/>
  <c r="BH125" i="15"/>
  <c r="BG125" i="15"/>
  <c r="BF125" i="15"/>
  <c r="AZ125" i="15"/>
  <c r="AY125" i="15"/>
  <c r="AX125" i="15"/>
  <c r="AW125" i="15"/>
  <c r="AV125" i="15"/>
  <c r="AU125" i="15"/>
  <c r="AT125" i="15"/>
  <c r="AS125" i="15"/>
  <c r="AR125" i="15"/>
  <c r="AQ125" i="15"/>
  <c r="AI125" i="15"/>
  <c r="AH125" i="15"/>
  <c r="AG125" i="15"/>
  <c r="AF125" i="15"/>
  <c r="AE125" i="15"/>
  <c r="AD125" i="15"/>
  <c r="AC125" i="15"/>
  <c r="AB125" i="15"/>
  <c r="CU124" i="15"/>
  <c r="CT124" i="15"/>
  <c r="CS124" i="15"/>
  <c r="CR124" i="15"/>
  <c r="CQ124" i="15"/>
  <c r="CP124" i="15"/>
  <c r="CO124" i="15"/>
  <c r="CN124" i="15"/>
  <c r="CM124" i="15"/>
  <c r="CL124" i="15"/>
  <c r="CE124" i="15"/>
  <c r="CD124" i="15"/>
  <c r="CC124" i="15"/>
  <c r="CB124" i="15"/>
  <c r="CA124" i="15"/>
  <c r="BZ124" i="15"/>
  <c r="BY124" i="15"/>
  <c r="BX124" i="15"/>
  <c r="BW124" i="15"/>
  <c r="BV124" i="15"/>
  <c r="BO124" i="15"/>
  <c r="BN124" i="15"/>
  <c r="BM124" i="15"/>
  <c r="BL124" i="15"/>
  <c r="BK124" i="15"/>
  <c r="BJ124" i="15"/>
  <c r="BI124" i="15"/>
  <c r="BH124" i="15"/>
  <c r="BG124" i="15"/>
  <c r="BF124" i="15"/>
  <c r="BQ124" i="15" s="1"/>
  <c r="AZ124" i="15"/>
  <c r="AY124" i="15"/>
  <c r="AX124" i="15"/>
  <c r="AW124" i="15"/>
  <c r="AV124" i="15"/>
  <c r="AU124" i="15"/>
  <c r="AT124" i="15"/>
  <c r="AI124" i="15"/>
  <c r="AH124" i="15"/>
  <c r="AG124" i="15"/>
  <c r="AF124" i="15"/>
  <c r="CU123" i="15"/>
  <c r="CT123" i="15"/>
  <c r="CS123" i="15"/>
  <c r="CR123" i="15"/>
  <c r="CQ123" i="15"/>
  <c r="CP123" i="15"/>
  <c r="CO123" i="15"/>
  <c r="CN123" i="15"/>
  <c r="CM123" i="15"/>
  <c r="CL123" i="15"/>
  <c r="CE123" i="15"/>
  <c r="BO123" i="15"/>
  <c r="BN123" i="15"/>
  <c r="BM123" i="15"/>
  <c r="BL123" i="15"/>
  <c r="BK123" i="15"/>
  <c r="BJ123" i="15"/>
  <c r="BI123" i="15"/>
  <c r="BH123" i="15"/>
  <c r="BG123" i="15"/>
  <c r="BF123" i="15"/>
  <c r="AZ123" i="15"/>
  <c r="AY123" i="15"/>
  <c r="AX123" i="15"/>
  <c r="AW123" i="15"/>
  <c r="AV123" i="15"/>
  <c r="AU123" i="15"/>
  <c r="AT123" i="15"/>
  <c r="AS123" i="15"/>
  <c r="AR123" i="15"/>
  <c r="AQ123" i="15"/>
  <c r="AI123" i="15"/>
  <c r="AH123" i="15"/>
  <c r="AG123" i="15"/>
  <c r="AF123" i="15"/>
  <c r="AE123" i="15"/>
  <c r="AD123" i="15"/>
  <c r="AC123" i="15"/>
  <c r="AB123" i="15"/>
  <c r="CU122" i="15"/>
  <c r="CT122" i="15"/>
  <c r="CS122" i="15"/>
  <c r="CR122" i="15"/>
  <c r="CQ122" i="15"/>
  <c r="CP122" i="15"/>
  <c r="CO122" i="15"/>
  <c r="CN122" i="15"/>
  <c r="CM122" i="15"/>
  <c r="CL122" i="15"/>
  <c r="CE122" i="15"/>
  <c r="CB122" i="15"/>
  <c r="CA122" i="15"/>
  <c r="BZ122" i="15"/>
  <c r="BY122" i="15"/>
  <c r="BX122" i="15"/>
  <c r="BW122" i="15"/>
  <c r="BV122" i="15"/>
  <c r="BO122" i="15"/>
  <c r="BN122" i="15"/>
  <c r="BM122" i="15"/>
  <c r="BL122" i="15"/>
  <c r="BK122" i="15"/>
  <c r="BJ122" i="15"/>
  <c r="BI122" i="15"/>
  <c r="BH122" i="15"/>
  <c r="BG122" i="15"/>
  <c r="BF122" i="15"/>
  <c r="AZ122" i="15"/>
  <c r="AS122" i="15"/>
  <c r="AR122" i="15"/>
  <c r="AQ122" i="15"/>
  <c r="AI122" i="15"/>
  <c r="AH122" i="15"/>
  <c r="AG122" i="15"/>
  <c r="AF122" i="15"/>
  <c r="AE122" i="15"/>
  <c r="AD122" i="15"/>
  <c r="AC122" i="15"/>
  <c r="AB122" i="15"/>
  <c r="CU121" i="15"/>
  <c r="CT121" i="15"/>
  <c r="CS121" i="15"/>
  <c r="CR121" i="15"/>
  <c r="CQ121" i="15"/>
  <c r="CP121" i="15"/>
  <c r="CO121" i="15"/>
  <c r="CN121" i="15"/>
  <c r="CM121" i="15"/>
  <c r="CL121" i="15"/>
  <c r="CE121" i="15"/>
  <c r="CD121" i="15"/>
  <c r="CC121" i="15"/>
  <c r="CB121" i="15"/>
  <c r="CA121" i="15"/>
  <c r="BZ121" i="15"/>
  <c r="BY121" i="15"/>
  <c r="BX121" i="15"/>
  <c r="BW121" i="15"/>
  <c r="BV121" i="15"/>
  <c r="BO121" i="15"/>
  <c r="BN121" i="15"/>
  <c r="BM121" i="15"/>
  <c r="BL121" i="15"/>
  <c r="BK121" i="15"/>
  <c r="BJ121" i="15"/>
  <c r="BI121" i="15"/>
  <c r="BH121" i="15"/>
  <c r="BG121" i="15"/>
  <c r="BF121" i="15"/>
  <c r="AZ121" i="15"/>
  <c r="AY121" i="15"/>
  <c r="AX121" i="15"/>
  <c r="AW121" i="15"/>
  <c r="AV121" i="15"/>
  <c r="AU121" i="15"/>
  <c r="AT121" i="15"/>
  <c r="AS121" i="15"/>
  <c r="AR121" i="15"/>
  <c r="AQ121" i="15"/>
  <c r="AI121" i="15"/>
  <c r="AH121" i="15"/>
  <c r="AG121" i="15"/>
  <c r="AF121" i="15"/>
  <c r="AE121" i="15"/>
  <c r="AD121" i="15"/>
  <c r="AC121" i="15"/>
  <c r="AB121" i="15"/>
  <c r="CU120" i="15"/>
  <c r="CT120" i="15"/>
  <c r="CS120" i="15"/>
  <c r="CR120" i="15"/>
  <c r="CQ120" i="15"/>
  <c r="CP120" i="15"/>
  <c r="CO120" i="15"/>
  <c r="CN120" i="15"/>
  <c r="CM120" i="15"/>
  <c r="CL120" i="15"/>
  <c r="CE120" i="15"/>
  <c r="CB120" i="15"/>
  <c r="CA120" i="15"/>
  <c r="BZ120" i="15"/>
  <c r="BY120" i="15"/>
  <c r="BX120" i="15"/>
  <c r="BW120" i="15"/>
  <c r="BV120" i="15"/>
  <c r="BO120" i="15"/>
  <c r="BN120" i="15"/>
  <c r="BM120" i="15"/>
  <c r="BL120" i="15"/>
  <c r="BK120" i="15"/>
  <c r="BJ120" i="15"/>
  <c r="BI120" i="15"/>
  <c r="BH120" i="15"/>
  <c r="BG120" i="15"/>
  <c r="BF120" i="15"/>
  <c r="AZ120" i="15"/>
  <c r="AY120" i="15"/>
  <c r="AX120" i="15"/>
  <c r="AW120" i="15"/>
  <c r="AV120" i="15"/>
  <c r="AU120" i="15"/>
  <c r="AT120" i="15"/>
  <c r="AS120" i="15"/>
  <c r="AR120" i="15"/>
  <c r="AQ120" i="15"/>
  <c r="AI120" i="15"/>
  <c r="AH120" i="15"/>
  <c r="AG120" i="15"/>
  <c r="AF120" i="15"/>
  <c r="AE120" i="15"/>
  <c r="AD120" i="15"/>
  <c r="AC120" i="15"/>
  <c r="AB120" i="15"/>
  <c r="CU119" i="15"/>
  <c r="CT119" i="15"/>
  <c r="CS119" i="15"/>
  <c r="CR119" i="15"/>
  <c r="CQ119" i="15"/>
  <c r="CP119" i="15"/>
  <c r="CO119" i="15"/>
  <c r="CN119" i="15"/>
  <c r="CM119" i="15"/>
  <c r="CL119" i="15"/>
  <c r="CE119" i="15"/>
  <c r="CD119" i="15"/>
  <c r="CC119" i="15"/>
  <c r="CB119" i="15"/>
  <c r="CA119" i="15"/>
  <c r="BZ119" i="15"/>
  <c r="BY119" i="15"/>
  <c r="BX119" i="15"/>
  <c r="BW119" i="15"/>
  <c r="BV119" i="15"/>
  <c r="BO119" i="15"/>
  <c r="BN119" i="15"/>
  <c r="BM119" i="15"/>
  <c r="BL119" i="15"/>
  <c r="BK119" i="15"/>
  <c r="BJ119" i="15"/>
  <c r="BI119" i="15"/>
  <c r="BH119" i="15"/>
  <c r="BG119" i="15"/>
  <c r="BF119" i="15"/>
  <c r="AZ119" i="15"/>
  <c r="AY119" i="15"/>
  <c r="AX119" i="15"/>
  <c r="AW119" i="15"/>
  <c r="AV119" i="15"/>
  <c r="AU119" i="15"/>
  <c r="AT119" i="15"/>
  <c r="AS119" i="15"/>
  <c r="AR119" i="15"/>
  <c r="AQ119" i="15"/>
  <c r="AI119" i="15"/>
  <c r="AH119" i="15"/>
  <c r="AG119" i="15"/>
  <c r="AF119" i="15"/>
  <c r="AE119" i="15"/>
  <c r="AD119" i="15"/>
  <c r="AC119" i="15"/>
  <c r="AB119" i="15"/>
  <c r="CU118" i="15"/>
  <c r="CT118" i="15"/>
  <c r="CS118" i="15"/>
  <c r="CR118" i="15"/>
  <c r="CQ118" i="15"/>
  <c r="CP118" i="15"/>
  <c r="CO118" i="15"/>
  <c r="CN118" i="15"/>
  <c r="CM118" i="15"/>
  <c r="CL118" i="15"/>
  <c r="CE118" i="15"/>
  <c r="CD118" i="15"/>
  <c r="CC118" i="15"/>
  <c r="CB118" i="15"/>
  <c r="CA118" i="15"/>
  <c r="BZ118" i="15"/>
  <c r="BY118" i="15"/>
  <c r="BX118" i="15"/>
  <c r="BW118" i="15"/>
  <c r="BV118" i="15"/>
  <c r="BO118" i="15"/>
  <c r="BN118" i="15"/>
  <c r="BM118" i="15"/>
  <c r="BL118" i="15"/>
  <c r="BK118" i="15"/>
  <c r="BJ118" i="15"/>
  <c r="BI118" i="15"/>
  <c r="BH118" i="15"/>
  <c r="BG118" i="15"/>
  <c r="BF118" i="15"/>
  <c r="AZ118" i="15"/>
  <c r="AY118" i="15"/>
  <c r="AX118" i="15"/>
  <c r="AW118" i="15"/>
  <c r="AV118" i="15"/>
  <c r="AU118" i="15"/>
  <c r="AT118" i="15"/>
  <c r="AS118" i="15"/>
  <c r="AR118" i="15"/>
  <c r="AQ118" i="15"/>
  <c r="AI118" i="15"/>
  <c r="AH118" i="15"/>
  <c r="AG118" i="15"/>
  <c r="AF118" i="15"/>
  <c r="AE118" i="15"/>
  <c r="AD118" i="15"/>
  <c r="AC118" i="15"/>
  <c r="AB118" i="15"/>
  <c r="CU117" i="15"/>
  <c r="CT117" i="15"/>
  <c r="CS117" i="15"/>
  <c r="CR117" i="15"/>
  <c r="CQ117" i="15"/>
  <c r="CP117" i="15"/>
  <c r="CO117" i="15"/>
  <c r="CN117" i="15"/>
  <c r="CM117" i="15"/>
  <c r="CL117" i="15"/>
  <c r="CE117" i="15"/>
  <c r="CD117" i="15"/>
  <c r="CC117" i="15"/>
  <c r="CB117" i="15"/>
  <c r="CA117" i="15"/>
  <c r="BZ117" i="15"/>
  <c r="BW117" i="15"/>
  <c r="BO117" i="15"/>
  <c r="BN117" i="15"/>
  <c r="BM117" i="15"/>
  <c r="BL117" i="15"/>
  <c r="BK117" i="15"/>
  <c r="BJ117" i="15"/>
  <c r="BI117" i="15"/>
  <c r="BH117" i="15"/>
  <c r="BG117" i="15"/>
  <c r="BF117" i="15"/>
  <c r="BQ117" i="15" s="1"/>
  <c r="AZ117" i="15"/>
  <c r="AY117" i="15"/>
  <c r="AX117" i="15"/>
  <c r="AW117" i="15"/>
  <c r="AV117" i="15"/>
  <c r="AU117" i="15"/>
  <c r="AT117" i="15"/>
  <c r="AS117" i="15"/>
  <c r="AR117" i="15"/>
  <c r="AQ117" i="15"/>
  <c r="AI117" i="15"/>
  <c r="AH117" i="15"/>
  <c r="AG117" i="15"/>
  <c r="AF117" i="15"/>
  <c r="AE117" i="15"/>
  <c r="AD117" i="15"/>
  <c r="AC117" i="15"/>
  <c r="AB117" i="15"/>
  <c r="CU116" i="15"/>
  <c r="CT116" i="15"/>
  <c r="CS116" i="15"/>
  <c r="CR116" i="15"/>
  <c r="CQ116" i="15"/>
  <c r="CP116" i="15"/>
  <c r="CO116" i="15"/>
  <c r="CN116" i="15"/>
  <c r="CM116" i="15"/>
  <c r="CL116" i="15"/>
  <c r="CD116" i="15"/>
  <c r="CC116" i="15"/>
  <c r="BZ116" i="15"/>
  <c r="BO116" i="15"/>
  <c r="BN116" i="15"/>
  <c r="BM116" i="15"/>
  <c r="BL116" i="15"/>
  <c r="BK116" i="15"/>
  <c r="BJ116" i="15"/>
  <c r="BI116" i="15"/>
  <c r="BH116" i="15"/>
  <c r="BG116" i="15"/>
  <c r="BF116" i="15"/>
  <c r="BQ116" i="15" s="1"/>
  <c r="AZ116" i="15"/>
  <c r="AY116" i="15"/>
  <c r="AX116" i="15"/>
  <c r="AW116" i="15"/>
  <c r="AV116" i="15"/>
  <c r="AU116" i="15"/>
  <c r="AT116" i="15"/>
  <c r="AS116" i="15"/>
  <c r="AR116" i="15"/>
  <c r="AQ116" i="15"/>
  <c r="AI116" i="15"/>
  <c r="AH116" i="15"/>
  <c r="AG116" i="15"/>
  <c r="AF116" i="15"/>
  <c r="AE116" i="15"/>
  <c r="AD116" i="15"/>
  <c r="AC116" i="15"/>
  <c r="AB116" i="15"/>
  <c r="CU115" i="15"/>
  <c r="CT115" i="15"/>
  <c r="CS115" i="15"/>
  <c r="CR115" i="15"/>
  <c r="CQ115" i="15"/>
  <c r="CP115" i="15"/>
  <c r="CO115" i="15"/>
  <c r="CN115" i="15"/>
  <c r="CM115" i="15"/>
  <c r="CL115" i="15"/>
  <c r="CE115" i="15"/>
  <c r="CD115" i="15"/>
  <c r="CC115" i="15"/>
  <c r="BO115" i="15"/>
  <c r="BN115" i="15"/>
  <c r="BM115" i="15"/>
  <c r="BL115" i="15"/>
  <c r="BK115" i="15"/>
  <c r="BJ115" i="15"/>
  <c r="BI115" i="15"/>
  <c r="BH115" i="15"/>
  <c r="BG115" i="15"/>
  <c r="BF115" i="15"/>
  <c r="AZ115" i="15"/>
  <c r="AY115" i="15"/>
  <c r="AX115" i="15"/>
  <c r="AW115" i="15"/>
  <c r="AV115" i="15"/>
  <c r="AU115" i="15"/>
  <c r="AT115" i="15"/>
  <c r="AS115" i="15"/>
  <c r="AR115" i="15"/>
  <c r="AQ115" i="15"/>
  <c r="AI115" i="15"/>
  <c r="AH115" i="15"/>
  <c r="AG115" i="15"/>
  <c r="AF115" i="15"/>
  <c r="AE115" i="15"/>
  <c r="AD115" i="15"/>
  <c r="AC115" i="15"/>
  <c r="AB115" i="15"/>
  <c r="CU114" i="15"/>
  <c r="CT114" i="15"/>
  <c r="CS114" i="15"/>
  <c r="CR114" i="15"/>
  <c r="CQ114" i="15"/>
  <c r="CP114" i="15"/>
  <c r="CO114" i="15"/>
  <c r="CN114" i="15"/>
  <c r="CM114" i="15"/>
  <c r="CL114" i="15"/>
  <c r="CE114" i="15"/>
  <c r="CD114" i="15"/>
  <c r="CC114" i="15"/>
  <c r="CB114" i="15"/>
  <c r="CA114" i="15"/>
  <c r="BZ114" i="15"/>
  <c r="BY114" i="15"/>
  <c r="BX114" i="15"/>
  <c r="BW114" i="15"/>
  <c r="BV114" i="15"/>
  <c r="BO114" i="15"/>
  <c r="BN114" i="15"/>
  <c r="BM114" i="15"/>
  <c r="BL114" i="15"/>
  <c r="BK114" i="15"/>
  <c r="BJ114" i="15"/>
  <c r="BI114" i="15"/>
  <c r="BH114" i="15"/>
  <c r="BG114" i="15"/>
  <c r="BF114" i="15"/>
  <c r="AZ114" i="15"/>
  <c r="AY114" i="15"/>
  <c r="AX114" i="15"/>
  <c r="AW114" i="15"/>
  <c r="AV114" i="15"/>
  <c r="AU114" i="15"/>
  <c r="AT114" i="15"/>
  <c r="AS114" i="15"/>
  <c r="AR114" i="15"/>
  <c r="AQ114" i="15"/>
  <c r="AI114" i="15"/>
  <c r="AH114" i="15"/>
  <c r="AG114" i="15"/>
  <c r="AF114" i="15"/>
  <c r="AE114" i="15"/>
  <c r="AD114" i="15"/>
  <c r="AC114" i="15"/>
  <c r="AB114" i="15"/>
  <c r="CT113" i="15"/>
  <c r="CS113" i="15"/>
  <c r="CR113" i="15"/>
  <c r="CQ113" i="15"/>
  <c r="CP113" i="15"/>
  <c r="CD113" i="15"/>
  <c r="CC113" i="15"/>
  <c r="CB113" i="15"/>
  <c r="CA113" i="15"/>
  <c r="BO113" i="15"/>
  <c r="BN113" i="15"/>
  <c r="BM113" i="15"/>
  <c r="BL113" i="15"/>
  <c r="BK113" i="15"/>
  <c r="BJ113" i="15"/>
  <c r="BI113" i="15"/>
  <c r="BH113" i="15"/>
  <c r="BG113" i="15"/>
  <c r="BF113" i="15"/>
  <c r="AZ113" i="15"/>
  <c r="AY113" i="15"/>
  <c r="AX113" i="15"/>
  <c r="AW113" i="15"/>
  <c r="AV113" i="15"/>
  <c r="AU113" i="15"/>
  <c r="AT113" i="15"/>
  <c r="AS113" i="15"/>
  <c r="AR113" i="15"/>
  <c r="AQ113" i="15"/>
  <c r="CU112" i="15"/>
  <c r="CT112" i="15"/>
  <c r="CS112" i="15"/>
  <c r="CR112" i="15"/>
  <c r="CQ112" i="15"/>
  <c r="CP112" i="15"/>
  <c r="CO112" i="15"/>
  <c r="CN112" i="15"/>
  <c r="CM112" i="15"/>
  <c r="CL112" i="15"/>
  <c r="CD112" i="15"/>
  <c r="CC112" i="15"/>
  <c r="CB112" i="15"/>
  <c r="CA112" i="15"/>
  <c r="BZ112" i="15"/>
  <c r="BY112" i="15"/>
  <c r="BX112" i="15"/>
  <c r="BW112" i="15"/>
  <c r="BV112" i="15"/>
  <c r="BO112" i="15"/>
  <c r="BN112" i="15"/>
  <c r="BM112" i="15"/>
  <c r="BL112" i="15"/>
  <c r="BK112" i="15"/>
  <c r="BJ112" i="15"/>
  <c r="BI112" i="15"/>
  <c r="BH112" i="15"/>
  <c r="BG112" i="15"/>
  <c r="BF112" i="15"/>
  <c r="AZ112" i="15"/>
  <c r="AY112" i="15"/>
  <c r="AX112" i="15"/>
  <c r="AW112" i="15"/>
  <c r="AV112" i="15"/>
  <c r="AU112" i="15"/>
  <c r="AT112" i="15"/>
  <c r="AS112" i="15"/>
  <c r="AR112" i="15"/>
  <c r="AQ112" i="15"/>
  <c r="CU111" i="15"/>
  <c r="CT111" i="15"/>
  <c r="CS111" i="15"/>
  <c r="CR111" i="15"/>
  <c r="CQ111" i="15"/>
  <c r="CP111" i="15"/>
  <c r="CO111" i="15"/>
  <c r="CN111" i="15"/>
  <c r="CM111" i="15"/>
  <c r="CL111" i="15"/>
  <c r="CE111" i="15"/>
  <c r="CD111" i="15"/>
  <c r="CC111" i="15"/>
  <c r="CB111" i="15"/>
  <c r="CA111" i="15"/>
  <c r="BZ111" i="15"/>
  <c r="BY111" i="15"/>
  <c r="BX111" i="15"/>
  <c r="BW111" i="15"/>
  <c r="BV111" i="15"/>
  <c r="BO111" i="15"/>
  <c r="BN111" i="15"/>
  <c r="BM111" i="15"/>
  <c r="BL111" i="15"/>
  <c r="BK111" i="15"/>
  <c r="BJ111" i="15"/>
  <c r="BI111" i="15"/>
  <c r="BH111" i="15"/>
  <c r="BG111" i="15"/>
  <c r="BF111" i="15"/>
  <c r="AZ111" i="15"/>
  <c r="AY111" i="15"/>
  <c r="AX111" i="15"/>
  <c r="AW111" i="15"/>
  <c r="AV111" i="15"/>
  <c r="AU111" i="15"/>
  <c r="AT111" i="15"/>
  <c r="AS111" i="15"/>
  <c r="AR111" i="15"/>
  <c r="AQ111" i="15"/>
  <c r="CD110" i="15"/>
  <c r="CC110" i="15"/>
  <c r="CB110" i="15"/>
  <c r="CA110" i="15"/>
  <c r="BZ110" i="15"/>
  <c r="BY110" i="15"/>
  <c r="BX110" i="15"/>
  <c r="BW110" i="15"/>
  <c r="BV110" i="15"/>
  <c r="BG110" i="15"/>
  <c r="BF110" i="15"/>
  <c r="AS110" i="15"/>
  <c r="AR110" i="15"/>
  <c r="AI110" i="15"/>
  <c r="AG110" i="15"/>
  <c r="AF110" i="15"/>
  <c r="AE110" i="15"/>
  <c r="AD110" i="15"/>
  <c r="AC110" i="15"/>
  <c r="AB110" i="15"/>
  <c r="CU109" i="15"/>
  <c r="CT109" i="15"/>
  <c r="CS109" i="15"/>
  <c r="CR109" i="15"/>
  <c r="CQ109" i="15"/>
  <c r="CP109" i="15"/>
  <c r="CO109" i="15"/>
  <c r="CN109" i="15"/>
  <c r="CM109" i="15"/>
  <c r="CL109" i="15"/>
  <c r="CE109" i="15"/>
  <c r="CD109" i="15"/>
  <c r="CC109" i="15"/>
  <c r="CB109" i="15"/>
  <c r="CA109" i="15"/>
  <c r="BZ109" i="15"/>
  <c r="BY109" i="15"/>
  <c r="BX109" i="15"/>
  <c r="BW109" i="15"/>
  <c r="BV109" i="15"/>
  <c r="BO109" i="15"/>
  <c r="BN109" i="15"/>
  <c r="BM109" i="15"/>
  <c r="BL109" i="15"/>
  <c r="BK109" i="15"/>
  <c r="BJ109" i="15"/>
  <c r="BI109" i="15"/>
  <c r="BH109" i="15"/>
  <c r="BG109" i="15"/>
  <c r="BF109" i="15"/>
  <c r="AZ109" i="15"/>
  <c r="AY109" i="15"/>
  <c r="AX109" i="15"/>
  <c r="AW109" i="15"/>
  <c r="AV109" i="15"/>
  <c r="AU109" i="15"/>
  <c r="AT109" i="15"/>
  <c r="AS109" i="15"/>
  <c r="AR109" i="15"/>
  <c r="AQ109" i="15"/>
  <c r="AI109" i="15"/>
  <c r="AH109" i="15"/>
  <c r="AG109" i="15"/>
  <c r="AF109" i="15"/>
  <c r="AE109" i="15"/>
  <c r="AD109" i="15"/>
  <c r="AC109" i="15"/>
  <c r="AB109" i="15"/>
  <c r="CU108" i="15"/>
  <c r="CT108" i="15"/>
  <c r="CS108" i="15"/>
  <c r="CR108" i="15"/>
  <c r="CQ108" i="15"/>
  <c r="CP108" i="15"/>
  <c r="CO108" i="15"/>
  <c r="CN108" i="15"/>
  <c r="CM108" i="15"/>
  <c r="CL108" i="15"/>
  <c r="CE108" i="15"/>
  <c r="CD108" i="15"/>
  <c r="CC108" i="15"/>
  <c r="CB108" i="15"/>
  <c r="CA108" i="15"/>
  <c r="BZ108" i="15"/>
  <c r="BY108" i="15"/>
  <c r="BX108" i="15"/>
  <c r="BW108" i="15"/>
  <c r="BV108" i="15"/>
  <c r="BO108" i="15"/>
  <c r="BN108" i="15"/>
  <c r="BM108" i="15"/>
  <c r="BL108" i="15"/>
  <c r="BK108" i="15"/>
  <c r="BJ108" i="15"/>
  <c r="BI108" i="15"/>
  <c r="BH108" i="15"/>
  <c r="BG108" i="15"/>
  <c r="BF108" i="15"/>
  <c r="BQ108" i="15" s="1"/>
  <c r="AZ108" i="15"/>
  <c r="AY108" i="15"/>
  <c r="AX108" i="15"/>
  <c r="AW108" i="15"/>
  <c r="AV108" i="15"/>
  <c r="AU108" i="15"/>
  <c r="AT108" i="15"/>
  <c r="AS108" i="15"/>
  <c r="AR108" i="15"/>
  <c r="AQ108" i="15"/>
  <c r="AI108" i="15"/>
  <c r="AH108" i="15"/>
  <c r="AG108" i="15"/>
  <c r="AF108" i="15"/>
  <c r="AE108" i="15"/>
  <c r="AD108" i="15"/>
  <c r="AC108" i="15"/>
  <c r="AB108" i="15"/>
  <c r="CU106" i="15"/>
  <c r="CO106" i="15"/>
  <c r="CN106" i="15"/>
  <c r="CM106" i="15"/>
  <c r="CL106" i="15"/>
  <c r="CE106" i="15"/>
  <c r="CD106" i="15"/>
  <c r="CC106" i="15"/>
  <c r="CB106" i="15"/>
  <c r="CA106" i="15"/>
  <c r="BZ106" i="15"/>
  <c r="BY106" i="15"/>
  <c r="BX106" i="15"/>
  <c r="BW106" i="15"/>
  <c r="BV106" i="15"/>
  <c r="BO106" i="15"/>
  <c r="BN106" i="15"/>
  <c r="BM106" i="15"/>
  <c r="BL106" i="15"/>
  <c r="BK106" i="15"/>
  <c r="BJ106" i="15"/>
  <c r="BI106" i="15"/>
  <c r="BH106" i="15"/>
  <c r="BG106" i="15"/>
  <c r="AI106" i="15"/>
  <c r="AH106" i="15"/>
  <c r="AG106" i="15"/>
  <c r="AF106" i="15"/>
  <c r="AE106" i="15"/>
  <c r="AD106" i="15"/>
  <c r="AC106" i="15"/>
  <c r="AB106" i="15"/>
  <c r="CD105" i="15"/>
  <c r="CC105" i="15"/>
  <c r="CB105" i="15"/>
  <c r="CA105" i="15"/>
  <c r="BZ105" i="15"/>
  <c r="BY105" i="15"/>
  <c r="BX105" i="15"/>
  <c r="BW105" i="15"/>
  <c r="BV105" i="15"/>
  <c r="AI105" i="15"/>
  <c r="AH105" i="15"/>
  <c r="AG105" i="15"/>
  <c r="AF105" i="15"/>
  <c r="AE105" i="15"/>
  <c r="AD105" i="15"/>
  <c r="AC105" i="15"/>
  <c r="AB105" i="15"/>
  <c r="CE104" i="15"/>
  <c r="CD104" i="15"/>
  <c r="CC104" i="15"/>
  <c r="CB104" i="15"/>
  <c r="CA104" i="15"/>
  <c r="BZ104" i="15"/>
  <c r="BY104" i="15"/>
  <c r="BX104" i="15"/>
  <c r="BW104" i="15"/>
  <c r="BV104" i="15"/>
  <c r="AY104" i="15"/>
  <c r="AX104" i="15"/>
  <c r="AW104" i="15"/>
  <c r="AV104" i="15"/>
  <c r="AU104" i="15"/>
  <c r="AT104" i="15"/>
  <c r="AS104" i="15"/>
  <c r="AR104" i="15"/>
  <c r="AQ104" i="15"/>
  <c r="AI104" i="15"/>
  <c r="AH104" i="15"/>
  <c r="AG104" i="15"/>
  <c r="AF104" i="15"/>
  <c r="AE104" i="15"/>
  <c r="AD104" i="15"/>
  <c r="AC104" i="15"/>
  <c r="AB104" i="15"/>
  <c r="CE103" i="15"/>
  <c r="CU102" i="15"/>
  <c r="CT102" i="15"/>
  <c r="CS102" i="15"/>
  <c r="CR102" i="15"/>
  <c r="CQ102" i="15"/>
  <c r="CP102" i="15"/>
  <c r="CO102" i="15"/>
  <c r="CN102" i="15"/>
  <c r="CM102" i="15"/>
  <c r="CL102" i="15"/>
  <c r="CD102" i="15"/>
  <c r="CC102" i="15"/>
  <c r="CB102" i="15"/>
  <c r="CA102" i="15"/>
  <c r="BZ102" i="15"/>
  <c r="BY102" i="15"/>
  <c r="BX102" i="15"/>
  <c r="BW102" i="15"/>
  <c r="BV102" i="15"/>
  <c r="BN102" i="15"/>
  <c r="BM102" i="15"/>
  <c r="BL102" i="15"/>
  <c r="BK102" i="15"/>
  <c r="BJ102" i="15"/>
  <c r="BI102" i="15"/>
  <c r="BH102" i="15"/>
  <c r="BG102" i="15"/>
  <c r="BF102" i="15"/>
  <c r="AZ102" i="15"/>
  <c r="AY102" i="15"/>
  <c r="AX102" i="15"/>
  <c r="AW102" i="15"/>
  <c r="AV102" i="15"/>
  <c r="AU102" i="15"/>
  <c r="AT102" i="15"/>
  <c r="AS102" i="15"/>
  <c r="AR102" i="15"/>
  <c r="AQ102" i="15"/>
  <c r="AI102" i="15"/>
  <c r="AH102" i="15"/>
  <c r="AG102" i="15"/>
  <c r="AF102" i="15"/>
  <c r="AE102" i="15"/>
  <c r="AD102" i="15"/>
  <c r="AC102" i="15"/>
  <c r="AB102" i="15"/>
  <c r="BY101" i="15"/>
  <c r="AZ101" i="15"/>
  <c r="AY101" i="15"/>
  <c r="AX101" i="15"/>
  <c r="AW101" i="15"/>
  <c r="AV101" i="15"/>
  <c r="AU101" i="15"/>
  <c r="AT101" i="15"/>
  <c r="AS101" i="15"/>
  <c r="AR101" i="15"/>
  <c r="AQ101" i="15"/>
  <c r="AH101" i="15"/>
  <c r="CU100" i="15"/>
  <c r="CT100" i="15"/>
  <c r="CS100" i="15"/>
  <c r="CR100" i="15"/>
  <c r="CQ100" i="15"/>
  <c r="CP100" i="15"/>
  <c r="CO100" i="15"/>
  <c r="CN100" i="15"/>
  <c r="CE100" i="15"/>
  <c r="CD100" i="15"/>
  <c r="CC100" i="15"/>
  <c r="CB100" i="15"/>
  <c r="CA100" i="15"/>
  <c r="BZ100" i="15"/>
  <c r="BY100" i="15"/>
  <c r="BX100" i="15"/>
  <c r="BW100" i="15"/>
  <c r="BV100" i="15"/>
  <c r="BO100" i="15"/>
  <c r="BN100" i="15"/>
  <c r="BM100" i="15"/>
  <c r="BL100" i="15"/>
  <c r="BK100" i="15"/>
  <c r="BJ100" i="15"/>
  <c r="BI100" i="15"/>
  <c r="BH100" i="15"/>
  <c r="BG100" i="15"/>
  <c r="BF100" i="15"/>
  <c r="AZ100" i="15"/>
  <c r="AY100" i="15"/>
  <c r="AX100" i="15"/>
  <c r="AW100" i="15"/>
  <c r="AV100" i="15"/>
  <c r="AU100" i="15"/>
  <c r="AT100" i="15"/>
  <c r="AS100" i="15"/>
  <c r="AR100" i="15"/>
  <c r="AQ100" i="15"/>
  <c r="AI100" i="15"/>
  <c r="AH100" i="15"/>
  <c r="AG100" i="15"/>
  <c r="AF100" i="15"/>
  <c r="AE100" i="15"/>
  <c r="AD100" i="15"/>
  <c r="AC100" i="15"/>
  <c r="AB100" i="15"/>
  <c r="CE99" i="15"/>
  <c r="CD99" i="15"/>
  <c r="CC99" i="15"/>
  <c r="CB99" i="15"/>
  <c r="CA99" i="15"/>
  <c r="BZ99" i="15"/>
  <c r="BY99" i="15"/>
  <c r="BX99" i="15"/>
  <c r="BW99" i="15"/>
  <c r="BV99" i="15"/>
  <c r="BO99" i="15"/>
  <c r="BN99" i="15"/>
  <c r="BM99" i="15"/>
  <c r="BL99" i="15"/>
  <c r="BK99" i="15"/>
  <c r="BJ99" i="15"/>
  <c r="BH99" i="15"/>
  <c r="AI99" i="15"/>
  <c r="AH99" i="15"/>
  <c r="AG99" i="15"/>
  <c r="AF99" i="15"/>
  <c r="AE99" i="15"/>
  <c r="AD99" i="15"/>
  <c r="AC99" i="15"/>
  <c r="AB99" i="15"/>
  <c r="AA97" i="15"/>
  <c r="BF97" i="15" s="1"/>
  <c r="BF149" i="15" s="1"/>
  <c r="CK149" i="15"/>
  <c r="BU149" i="15"/>
  <c r="BE149" i="15"/>
  <c r="AP149" i="15"/>
  <c r="Z149" i="15"/>
  <c r="Y99" i="15"/>
  <c r="Y47" i="15"/>
  <c r="BQ120" i="15" l="1"/>
  <c r="BQ121" i="15"/>
  <c r="BQ102" i="15"/>
  <c r="BQ100" i="15"/>
  <c r="BQ118" i="15"/>
  <c r="BQ122" i="15"/>
  <c r="BQ114" i="15"/>
  <c r="BQ127" i="15"/>
  <c r="BR127" i="15" s="1"/>
  <c r="BS127" i="15" s="1"/>
  <c r="BQ113" i="15"/>
  <c r="BQ119" i="15"/>
  <c r="BQ109" i="15"/>
  <c r="BR109" i="15" s="1"/>
  <c r="BS109" i="15" s="1"/>
  <c r="BQ111" i="15"/>
  <c r="BR111" i="15" s="1"/>
  <c r="BS111" i="15" s="1"/>
  <c r="BQ112" i="15"/>
  <c r="BR112" i="15" s="1"/>
  <c r="BS112" i="15" s="1"/>
  <c r="BQ123" i="15"/>
  <c r="BQ125" i="15"/>
  <c r="BR125" i="15" s="1"/>
  <c r="BS125" i="15" s="1"/>
  <c r="BQ131" i="15"/>
  <c r="BR131" i="15" s="1"/>
  <c r="BS131" i="15" s="1"/>
  <c r="BQ115" i="15"/>
  <c r="BR115" i="15" s="1"/>
  <c r="BS115" i="15" s="1"/>
  <c r="BQ128" i="15"/>
  <c r="BR128" i="15" s="1"/>
  <c r="BS128" i="15" s="1"/>
  <c r="Y48" i="15"/>
  <c r="AG103" i="15" s="1"/>
  <c r="AK110" i="15"/>
  <c r="CG99" i="15"/>
  <c r="CH99" i="15" s="1"/>
  <c r="CG106" i="15"/>
  <c r="CH106" i="15" s="1"/>
  <c r="CI106" i="15" s="1"/>
  <c r="CG104" i="15"/>
  <c r="CH104" i="15" s="1"/>
  <c r="CI104" i="15" s="1"/>
  <c r="CG114" i="15"/>
  <c r="CH114" i="15" s="1"/>
  <c r="CI114" i="15" s="1"/>
  <c r="CG118" i="15"/>
  <c r="CH118" i="15" s="1"/>
  <c r="CI118" i="15" s="1"/>
  <c r="CG119" i="15"/>
  <c r="CH119" i="15" s="1"/>
  <c r="CI119" i="15" s="1"/>
  <c r="CG111" i="15"/>
  <c r="CH111" i="15" s="1"/>
  <c r="CI111" i="15" s="1"/>
  <c r="CG127" i="15"/>
  <c r="CH127" i="15" s="1"/>
  <c r="CI127" i="15" s="1"/>
  <c r="CG128" i="15"/>
  <c r="CH128" i="15" s="1"/>
  <c r="CI128" i="15" s="1"/>
  <c r="CG108" i="15"/>
  <c r="CH108" i="15" s="1"/>
  <c r="CI108" i="15" s="1"/>
  <c r="CG109" i="15"/>
  <c r="CH109" i="15" s="1"/>
  <c r="CI109" i="15" s="1"/>
  <c r="CG100" i="15"/>
  <c r="CH100" i="15" s="1"/>
  <c r="CI100" i="15" s="1"/>
  <c r="CG130" i="15"/>
  <c r="CH130" i="15" s="1"/>
  <c r="CI130" i="15" s="1"/>
  <c r="CG121" i="15"/>
  <c r="CH121" i="15" s="1"/>
  <c r="CI121" i="15" s="1"/>
  <c r="CG124" i="15"/>
  <c r="CH124" i="15" s="1"/>
  <c r="CI124" i="15" s="1"/>
  <c r="CG125" i="15"/>
  <c r="CH125" i="15" s="1"/>
  <c r="CI125" i="15" s="1"/>
  <c r="Y100" i="15"/>
  <c r="AA98" i="15"/>
  <c r="AI103" i="15"/>
  <c r="AI101" i="15"/>
  <c r="AH110" i="15"/>
  <c r="AC101" i="15"/>
  <c r="AD101" i="15"/>
  <c r="AE101" i="15"/>
  <c r="AF101" i="15"/>
  <c r="AB98" i="15"/>
  <c r="AG101" i="15"/>
  <c r="AQ97" i="15"/>
  <c r="AQ149" i="15" s="1"/>
  <c r="CX131" i="15"/>
  <c r="CY131" i="15" s="1"/>
  <c r="AA149" i="15"/>
  <c r="BA108" i="15"/>
  <c r="BB108" i="15" s="1"/>
  <c r="BC108" i="15" s="1"/>
  <c r="AB97" i="15"/>
  <c r="CX108" i="15"/>
  <c r="CY108" i="15" s="1"/>
  <c r="CX109" i="15"/>
  <c r="CY109" i="15" s="1"/>
  <c r="BA128" i="15"/>
  <c r="BB128" i="15" s="1"/>
  <c r="BC128" i="15" s="1"/>
  <c r="BR102" i="15"/>
  <c r="BS102" i="15" s="1"/>
  <c r="CX114" i="15"/>
  <c r="CY114" i="15" s="1"/>
  <c r="CX115" i="15"/>
  <c r="CY115" i="15" s="1"/>
  <c r="CX116" i="15"/>
  <c r="CY116" i="15" s="1"/>
  <c r="CX117" i="15"/>
  <c r="CY117" i="15" s="1"/>
  <c r="CX118" i="15"/>
  <c r="CY118" i="15" s="1"/>
  <c r="CX119" i="15"/>
  <c r="CY119" i="15" s="1"/>
  <c r="CX120" i="15"/>
  <c r="CY120" i="15" s="1"/>
  <c r="CX121" i="15"/>
  <c r="CY121" i="15" s="1"/>
  <c r="CX122" i="15"/>
  <c r="CY122" i="15" s="1"/>
  <c r="CX123" i="15"/>
  <c r="CY123" i="15" s="1"/>
  <c r="CX124" i="15"/>
  <c r="CY124" i="15" s="1"/>
  <c r="CX125" i="15"/>
  <c r="CY125" i="15" s="1"/>
  <c r="CX126" i="15"/>
  <c r="CY126" i="15" s="1"/>
  <c r="CX127" i="15"/>
  <c r="CY127" i="15" s="1"/>
  <c r="CX128" i="15"/>
  <c r="CY128" i="15" s="1"/>
  <c r="CX130" i="15"/>
  <c r="CY130" i="15" s="1"/>
  <c r="CX132" i="15"/>
  <c r="CY132" i="15" s="1"/>
  <c r="BG97" i="15"/>
  <c r="CL97" i="15"/>
  <c r="BA100" i="15"/>
  <c r="BB100" i="15" s="1"/>
  <c r="BC100" i="15" s="1"/>
  <c r="BA112" i="15"/>
  <c r="BB112" i="15" s="1"/>
  <c r="BC112" i="15" s="1"/>
  <c r="BA113" i="15"/>
  <c r="BB113" i="15" s="1"/>
  <c r="BC113" i="15" s="1"/>
  <c r="BA115" i="15"/>
  <c r="BB115" i="15" s="1"/>
  <c r="BC115" i="15" s="1"/>
  <c r="BA116" i="15"/>
  <c r="BB116" i="15" s="1"/>
  <c r="BC116" i="15" s="1"/>
  <c r="BA120" i="15"/>
  <c r="BB120" i="15" s="1"/>
  <c r="BC120" i="15" s="1"/>
  <c r="BA121" i="15"/>
  <c r="BB121" i="15" s="1"/>
  <c r="BC121" i="15" s="1"/>
  <c r="CX102" i="15"/>
  <c r="CY102" i="15" s="1"/>
  <c r="CX112" i="15"/>
  <c r="CY112" i="15" s="1"/>
  <c r="BA102" i="15"/>
  <c r="BB102" i="15" s="1"/>
  <c r="BC102" i="15" s="1"/>
  <c r="BA126" i="15"/>
  <c r="BB126" i="15" s="1"/>
  <c r="BC126" i="15" s="1"/>
  <c r="BR122" i="15"/>
  <c r="BS122" i="15" s="1"/>
  <c r="CX111" i="15"/>
  <c r="CY111" i="15" s="1"/>
  <c r="BR100" i="15"/>
  <c r="BS100" i="15" s="1"/>
  <c r="BR108" i="15"/>
  <c r="BS108" i="15" s="1"/>
  <c r="BR113" i="15"/>
  <c r="BS113" i="15" s="1"/>
  <c r="BR114" i="15"/>
  <c r="BS114" i="15" s="1"/>
  <c r="BR116" i="15"/>
  <c r="BS116" i="15" s="1"/>
  <c r="BR117" i="15"/>
  <c r="BS117" i="15" s="1"/>
  <c r="BR118" i="15"/>
  <c r="BS118" i="15" s="1"/>
  <c r="BR119" i="15"/>
  <c r="BS119" i="15" s="1"/>
  <c r="BR120" i="15"/>
  <c r="BS120" i="15" s="1"/>
  <c r="BR121" i="15"/>
  <c r="BS121" i="15" s="1"/>
  <c r="BR123" i="15"/>
  <c r="BS123" i="15" s="1"/>
  <c r="BR124" i="15"/>
  <c r="BS124" i="15" s="1"/>
  <c r="BR130" i="15"/>
  <c r="BS130" i="15" s="1"/>
  <c r="BA132" i="15"/>
  <c r="BB132" i="15" s="1"/>
  <c r="BC132" i="15" s="1"/>
  <c r="BA114" i="15"/>
  <c r="BB114" i="15" s="1"/>
  <c r="BC114" i="15" s="1"/>
  <c r="BA118" i="15"/>
  <c r="BB118" i="15" s="1"/>
  <c r="BC118" i="15" s="1"/>
  <c r="BA123" i="15"/>
  <c r="BB123" i="15" s="1"/>
  <c r="BC123" i="15" s="1"/>
  <c r="BA131" i="15"/>
  <c r="BB131" i="15" s="1"/>
  <c r="BC131" i="15" s="1"/>
  <c r="BA101" i="15"/>
  <c r="BB101" i="15" s="1"/>
  <c r="BC101" i="15" s="1"/>
  <c r="BA109" i="15"/>
  <c r="BB109" i="15" s="1"/>
  <c r="BC109" i="15" s="1"/>
  <c r="BA117" i="15"/>
  <c r="BB117" i="15" s="1"/>
  <c r="BC117" i="15" s="1"/>
  <c r="BA125" i="15"/>
  <c r="BB125" i="15" s="1"/>
  <c r="BC125" i="15" s="1"/>
  <c r="BA127" i="15"/>
  <c r="BB127" i="15" s="1"/>
  <c r="BC127" i="15" s="1"/>
  <c r="BA111" i="15"/>
  <c r="BB111" i="15" s="1"/>
  <c r="BC111" i="15" s="1"/>
  <c r="BA119" i="15"/>
  <c r="BB119" i="15" s="1"/>
  <c r="BC119" i="15" s="1"/>
  <c r="AE103" i="15" l="1"/>
  <c r="AD103" i="15"/>
  <c r="AA101" i="15"/>
  <c r="AH103" i="15"/>
  <c r="AB101" i="15"/>
  <c r="AF103" i="15"/>
  <c r="AC98" i="15"/>
  <c r="Y49" i="15"/>
  <c r="AK103" i="15"/>
  <c r="Y101" i="15"/>
  <c r="CM97" i="15"/>
  <c r="CL149" i="15"/>
  <c r="AC97" i="15"/>
  <c r="AB149" i="15"/>
  <c r="BH97" i="15"/>
  <c r="BG149" i="15"/>
  <c r="Y50" i="15" l="1"/>
  <c r="AF98" i="15"/>
  <c r="AA103" i="15"/>
  <c r="AG98" i="15"/>
  <c r="AD98" i="15"/>
  <c r="AB103" i="15"/>
  <c r="AI98" i="15"/>
  <c r="AE98" i="15"/>
  <c r="AH98" i="15"/>
  <c r="AC103" i="15"/>
  <c r="Y102" i="15"/>
  <c r="BI97" i="15"/>
  <c r="BH149" i="15"/>
  <c r="AD97" i="15"/>
  <c r="AC149" i="15"/>
  <c r="CN97" i="15"/>
  <c r="CM149" i="15"/>
  <c r="Y51" i="15" l="1"/>
  <c r="AK129" i="15"/>
  <c r="AI129" i="15"/>
  <c r="AF129" i="15"/>
  <c r="AD129" i="15"/>
  <c r="AC129" i="15"/>
  <c r="AA129" i="15"/>
  <c r="AB129" i="15"/>
  <c r="AG129" i="15"/>
  <c r="AH129" i="15"/>
  <c r="AE129" i="15"/>
  <c r="Y103" i="15"/>
  <c r="AE97" i="15"/>
  <c r="AD149" i="15"/>
  <c r="CO97" i="15"/>
  <c r="CN149" i="15"/>
  <c r="BJ97" i="15"/>
  <c r="BI149" i="15"/>
  <c r="Y52" i="15" l="1"/>
  <c r="AK107" i="15"/>
  <c r="AB107" i="15"/>
  <c r="AI107" i="15"/>
  <c r="AC107" i="15"/>
  <c r="AH107" i="15"/>
  <c r="AD107" i="15"/>
  <c r="AA107" i="15"/>
  <c r="AF107" i="15"/>
  <c r="AE107" i="15"/>
  <c r="AG107" i="15"/>
  <c r="Y104" i="15"/>
  <c r="CP97" i="15"/>
  <c r="CO149" i="15"/>
  <c r="AF97" i="15"/>
  <c r="AE149" i="15"/>
  <c r="BK97" i="15"/>
  <c r="BJ149" i="15"/>
  <c r="Y53" i="15" l="1"/>
  <c r="AK113" i="15"/>
  <c r="AI113" i="15"/>
  <c r="AH113" i="15"/>
  <c r="AG113" i="15"/>
  <c r="AF111" i="15"/>
  <c r="AD111" i="15"/>
  <c r="AA111" i="15"/>
  <c r="AE124" i="15"/>
  <c r="AB111" i="15"/>
  <c r="AC111" i="15"/>
  <c r="Y105" i="15"/>
  <c r="AG97" i="15"/>
  <c r="AF149" i="15"/>
  <c r="BL97" i="15"/>
  <c r="BK149" i="15"/>
  <c r="CQ97" i="15"/>
  <c r="CP149" i="15"/>
  <c r="Y54" i="15" l="1"/>
  <c r="AK112" i="15"/>
  <c r="AG112" i="15"/>
  <c r="AF113" i="15"/>
  <c r="AB124" i="15"/>
  <c r="AD124" i="15"/>
  <c r="AI112" i="15"/>
  <c r="AH112" i="15"/>
  <c r="AC112" i="15"/>
  <c r="AA113" i="15"/>
  <c r="AE111" i="15"/>
  <c r="Y106" i="15"/>
  <c r="CR97" i="15"/>
  <c r="CQ149" i="15"/>
  <c r="BM97" i="15"/>
  <c r="BL149" i="15"/>
  <c r="AH97" i="15"/>
  <c r="AG149" i="15"/>
  <c r="Y55" i="15" l="1"/>
  <c r="AK126" i="15"/>
  <c r="AD112" i="15"/>
  <c r="AC124" i="15"/>
  <c r="AI126" i="15"/>
  <c r="AG126" i="15"/>
  <c r="AH126" i="15"/>
  <c r="AB113" i="15"/>
  <c r="AA124" i="15"/>
  <c r="AF112" i="15"/>
  <c r="AE113" i="15"/>
  <c r="Y107" i="15"/>
  <c r="CS97" i="15"/>
  <c r="CR149" i="15"/>
  <c r="AI97" i="15"/>
  <c r="AH149" i="15"/>
  <c r="BN97" i="15"/>
  <c r="BM149" i="15"/>
  <c r="AD113" i="15" l="1"/>
  <c r="AK111" i="15"/>
  <c r="Y56" i="15"/>
  <c r="AE112" i="15"/>
  <c r="AB112" i="15"/>
  <c r="AI111" i="15"/>
  <c r="AG111" i="15"/>
  <c r="AF126" i="15"/>
  <c r="AA112" i="15"/>
  <c r="AH111" i="15"/>
  <c r="AC113" i="15"/>
  <c r="Y108" i="15"/>
  <c r="AJ97" i="15"/>
  <c r="AI149" i="15"/>
  <c r="CT97" i="15"/>
  <c r="CS149" i="15"/>
  <c r="BO97" i="15"/>
  <c r="BN149" i="15"/>
  <c r="BO149" i="15" l="1"/>
  <c r="BP97" i="15"/>
  <c r="AZ98" i="15"/>
  <c r="Y57" i="15"/>
  <c r="AT98" i="15"/>
  <c r="AY98" i="15"/>
  <c r="AX98" i="15"/>
  <c r="AV98" i="15"/>
  <c r="AQ98" i="15"/>
  <c r="AW98" i="15"/>
  <c r="AR98" i="15"/>
  <c r="AS98" i="15"/>
  <c r="AU98" i="15"/>
  <c r="AJ149" i="15"/>
  <c r="AK97" i="15"/>
  <c r="AK149" i="15" s="1"/>
  <c r="Y109" i="15"/>
  <c r="CU97" i="15"/>
  <c r="CU149" i="15" s="1"/>
  <c r="CT149" i="15"/>
  <c r="AY130" i="15" l="1"/>
  <c r="AZ103" i="15"/>
  <c r="AT103" i="15"/>
  <c r="AR103" i="15"/>
  <c r="AX130" i="15"/>
  <c r="Y58" i="15"/>
  <c r="AQ106" i="15"/>
  <c r="AS103" i="15"/>
  <c r="AW130" i="15"/>
  <c r="AV130" i="15"/>
  <c r="AU130" i="15"/>
  <c r="BA98" i="15"/>
  <c r="Y110" i="15"/>
  <c r="AY103" i="15" l="1"/>
  <c r="AK130" i="15"/>
  <c r="AZ130" i="15"/>
  <c r="AW103" i="15"/>
  <c r="AQ103" i="15"/>
  <c r="Y59" i="15"/>
  <c r="AR106" i="15"/>
  <c r="AV103" i="15"/>
  <c r="AX103" i="15"/>
  <c r="AU103" i="15"/>
  <c r="AS106" i="15"/>
  <c r="Y111" i="15"/>
  <c r="BA103" i="15" l="1"/>
  <c r="AY110" i="15"/>
  <c r="AZ110" i="15"/>
  <c r="AS130" i="15"/>
  <c r="Y60" i="15"/>
  <c r="AX107" i="15"/>
  <c r="AQ105" i="15"/>
  <c r="AT106" i="15"/>
  <c r="AR105" i="15"/>
  <c r="AW107" i="15"/>
  <c r="AU106" i="15"/>
  <c r="AV106" i="15"/>
  <c r="Y112" i="15"/>
  <c r="AY107" i="15" l="1"/>
  <c r="AZ107" i="15"/>
  <c r="AX110" i="15"/>
  <c r="AS105" i="15"/>
  <c r="AT107" i="15"/>
  <c r="AR99" i="15"/>
  <c r="AV110" i="15"/>
  <c r="AW110" i="15"/>
  <c r="Y61" i="15"/>
  <c r="AQ99" i="15"/>
  <c r="AU110" i="15"/>
  <c r="Y113" i="15"/>
  <c r="AY106" i="15" l="1"/>
  <c r="AZ129" i="15"/>
  <c r="AS107" i="15"/>
  <c r="Y62" i="15"/>
  <c r="AU107" i="15"/>
  <c r="AW106" i="15"/>
  <c r="AX106" i="15"/>
  <c r="AQ107" i="15"/>
  <c r="AV107" i="15"/>
  <c r="AT110" i="15"/>
  <c r="AR107" i="15"/>
  <c r="Y114" i="15"/>
  <c r="BA107" i="15" l="1"/>
  <c r="AY129" i="15"/>
  <c r="AZ106" i="15"/>
  <c r="BA106" i="15" s="1"/>
  <c r="AT129" i="15"/>
  <c r="Y63" i="15"/>
  <c r="AW129" i="15"/>
  <c r="AQ129" i="15"/>
  <c r="AR129" i="15"/>
  <c r="AX129" i="15"/>
  <c r="AU129" i="15"/>
  <c r="AV129" i="15"/>
  <c r="Y115" i="15"/>
  <c r="AY105" i="15" l="1"/>
  <c r="AZ105" i="15"/>
  <c r="AW105" i="15"/>
  <c r="AS129" i="15"/>
  <c r="BA129" i="15" s="1"/>
  <c r="AU99" i="15"/>
  <c r="AV105" i="15"/>
  <c r="AR130" i="15"/>
  <c r="Y64" i="15"/>
  <c r="AQ130" i="15"/>
  <c r="BA130" i="15" s="1"/>
  <c r="AX105" i="15"/>
  <c r="AT105" i="15"/>
  <c r="Y116" i="15"/>
  <c r="AY122" i="15" l="1"/>
  <c r="AZ99" i="15"/>
  <c r="AV99" i="15"/>
  <c r="AQ110" i="15"/>
  <c r="BA110" i="15" s="1"/>
  <c r="AU105" i="15"/>
  <c r="BA105" i="15" s="1"/>
  <c r="AT99" i="15"/>
  <c r="Y65" i="15"/>
  <c r="AS99" i="15"/>
  <c r="AX122" i="15"/>
  <c r="AW99" i="15"/>
  <c r="Y117" i="15"/>
  <c r="Y118" i="15" s="1"/>
  <c r="Y119" i="15" s="1"/>
  <c r="Y120" i="15" s="1"/>
  <c r="Y121" i="15" s="1"/>
  <c r="Y122" i="15" s="1"/>
  <c r="Y123" i="15" s="1"/>
  <c r="Y124" i="15" s="1"/>
  <c r="Y125" i="15" s="1"/>
  <c r="Y126" i="15" s="1"/>
  <c r="Y127" i="15" s="1"/>
  <c r="Y128" i="15" s="1"/>
  <c r="Y129" i="15" s="1"/>
  <c r="Y130" i="15" s="1"/>
  <c r="Y131" i="15" s="1"/>
  <c r="Y132" i="15" s="1"/>
  <c r="Y133" i="15" s="1"/>
  <c r="Y134" i="15" s="1"/>
  <c r="Y135" i="15" s="1"/>
  <c r="Y136" i="15" s="1"/>
  <c r="Y137" i="15" s="1"/>
  <c r="Y138" i="15" s="1"/>
  <c r="Y139" i="15" s="1"/>
  <c r="Y140" i="15" s="1"/>
  <c r="Y141" i="15" s="1"/>
  <c r="Y142" i="15" s="1"/>
  <c r="Y143" i="15" s="1"/>
  <c r="Y144" i="15" s="1"/>
  <c r="Y145" i="15" s="1"/>
  <c r="Y146" i="15" s="1"/>
  <c r="Y147" i="15" s="1"/>
  <c r="Y150" i="15" s="1"/>
  <c r="Y151" i="15" s="1"/>
  <c r="Y152" i="15" s="1"/>
  <c r="Y153" i="15" s="1"/>
  <c r="Y154" i="15" s="1"/>
  <c r="Y155" i="15" s="1"/>
  <c r="Y156" i="15" s="1"/>
  <c r="Y157" i="15" s="1"/>
  <c r="Y158" i="15" s="1"/>
  <c r="Y159" i="15" s="1"/>
  <c r="Y160" i="15" s="1"/>
  <c r="Y161" i="15" s="1"/>
  <c r="Y162" i="15" s="1"/>
  <c r="Y163" i="15" s="1"/>
  <c r="Y164" i="15" s="1"/>
  <c r="Y165" i="15" s="1"/>
  <c r="Y166" i="15" s="1"/>
  <c r="Y167" i="15" s="1"/>
  <c r="Y168" i="15" s="1"/>
  <c r="Y169" i="15" s="1"/>
  <c r="Y170" i="15" s="1"/>
  <c r="Y171" i="15" s="1"/>
  <c r="Y172" i="15" s="1"/>
  <c r="Y173" i="15" s="1"/>
  <c r="Y174" i="15" s="1"/>
  <c r="Y175" i="15" s="1"/>
  <c r="Y176" i="15" s="1"/>
  <c r="AY99" i="15" l="1"/>
  <c r="AZ104" i="15"/>
  <c r="BA104" i="15" s="1"/>
  <c r="AQ124" i="15"/>
  <c r="AR124" i="15"/>
  <c r="Y66" i="15"/>
  <c r="BP98" i="15" s="1"/>
  <c r="AX99" i="15"/>
  <c r="BA99" i="15" s="1"/>
  <c r="AV122" i="15"/>
  <c r="AT122" i="15"/>
  <c r="AW122" i="15"/>
  <c r="AU122" i="15"/>
  <c r="AS124" i="15"/>
  <c r="BA122" i="15" l="1"/>
  <c r="BO98" i="15"/>
  <c r="BF98" i="15"/>
  <c r="BG98" i="15"/>
  <c r="Y67" i="15"/>
  <c r="BP103" i="15" s="1"/>
  <c r="BM98" i="15"/>
  <c r="BN98" i="15"/>
  <c r="BK98" i="15"/>
  <c r="BJ98" i="15"/>
  <c r="BL98" i="15"/>
  <c r="BI98" i="15"/>
  <c r="BH98" i="15"/>
  <c r="BA124" i="15"/>
  <c r="BB124" i="15" s="1"/>
  <c r="BB105" i="15"/>
  <c r="BB104" i="15" l="1"/>
  <c r="BB122" i="15"/>
  <c r="BB130" i="15"/>
  <c r="BB129" i="15"/>
  <c r="BB106" i="15"/>
  <c r="BQ98" i="15"/>
  <c r="BB107" i="15"/>
  <c r="BB99" i="15"/>
  <c r="BC99" i="15" s="1"/>
  <c r="BB103" i="15"/>
  <c r="BC103" i="15" s="1"/>
  <c r="BO103" i="15"/>
  <c r="BK103" i="15"/>
  <c r="BN103" i="15"/>
  <c r="BM103" i="15"/>
  <c r="BI103" i="15"/>
  <c r="BL103" i="15"/>
  <c r="BH103" i="15"/>
  <c r="BJ103" i="15"/>
  <c r="BG103" i="15"/>
  <c r="BF105" i="15"/>
  <c r="Y68" i="15"/>
  <c r="BP104" i="15" s="1"/>
  <c r="BB110" i="15"/>
  <c r="BB98" i="15"/>
  <c r="BC104" i="15" l="1"/>
  <c r="BC124" i="15"/>
  <c r="BC106" i="15"/>
  <c r="BC107" i="15"/>
  <c r="BC105" i="15"/>
  <c r="BC129" i="15"/>
  <c r="BC130" i="15"/>
  <c r="BD130" i="15" s="1"/>
  <c r="BC110" i="15"/>
  <c r="BC98" i="15"/>
  <c r="BB133" i="15"/>
  <c r="BO104" i="15"/>
  <c r="BG105" i="15"/>
  <c r="BM105" i="15"/>
  <c r="BI129" i="15"/>
  <c r="BN104" i="15"/>
  <c r="BF103" i="15"/>
  <c r="BQ103" i="15" s="1"/>
  <c r="BH129" i="15"/>
  <c r="BK129" i="15"/>
  <c r="BL105" i="15"/>
  <c r="BJ129" i="15"/>
  <c r="Y69" i="15"/>
  <c r="BC122" i="15"/>
  <c r="BD99" i="15" l="1"/>
  <c r="BD110" i="15"/>
  <c r="BD129" i="15"/>
  <c r="BD123" i="15"/>
  <c r="BD116" i="15"/>
  <c r="BD98" i="15"/>
  <c r="BD102" i="15"/>
  <c r="BD126" i="15"/>
  <c r="BD121" i="15"/>
  <c r="BD112" i="15"/>
  <c r="BD125" i="15"/>
  <c r="BD128" i="15"/>
  <c r="BD115" i="15"/>
  <c r="BD127" i="15"/>
  <c r="BD113" i="15"/>
  <c r="BD118" i="15"/>
  <c r="BD111" i="15"/>
  <c r="BD101" i="15"/>
  <c r="BD132" i="15"/>
  <c r="BD108" i="15"/>
  <c r="BD114" i="15"/>
  <c r="BD120" i="15"/>
  <c r="BD109" i="15"/>
  <c r="BD100" i="15"/>
  <c r="BD117" i="15"/>
  <c r="BD131" i="15"/>
  <c r="BD119" i="15"/>
  <c r="BD105" i="15"/>
  <c r="BD103" i="15"/>
  <c r="BD107" i="15"/>
  <c r="BD106" i="15"/>
  <c r="BD124" i="15"/>
  <c r="BD122" i="15"/>
  <c r="BO110" i="15"/>
  <c r="BI105" i="15"/>
  <c r="BF129" i="15"/>
  <c r="BN110" i="15"/>
  <c r="BM104" i="15"/>
  <c r="BL104" i="15"/>
  <c r="BK105" i="15"/>
  <c r="BJ105" i="15"/>
  <c r="Y70" i="15"/>
  <c r="BH105" i="15"/>
  <c r="BG129" i="15"/>
  <c r="BD104" i="15"/>
  <c r="BD133" i="15" l="1"/>
  <c r="BO105" i="15"/>
  <c r="BK104" i="15"/>
  <c r="BF132" i="15"/>
  <c r="BH101" i="15"/>
  <c r="Y71" i="15"/>
  <c r="BP129" i="15" s="1"/>
  <c r="BL129" i="15"/>
  <c r="BN105" i="15"/>
  <c r="BM101" i="15"/>
  <c r="BI132" i="15"/>
  <c r="BG132" i="15"/>
  <c r="BJ104" i="15"/>
  <c r="BQ105" i="15" l="1"/>
  <c r="BO129" i="15"/>
  <c r="BI104" i="15"/>
  <c r="Y72" i="15"/>
  <c r="BJ132" i="15"/>
  <c r="BK132" i="15"/>
  <c r="BN129" i="15"/>
  <c r="BM129" i="15"/>
  <c r="BF101" i="15"/>
  <c r="BG101" i="15"/>
  <c r="BH132" i="15"/>
  <c r="BL110" i="15"/>
  <c r="AP160" i="15"/>
  <c r="AP166" i="15"/>
  <c r="AP153" i="15"/>
  <c r="AP162" i="15"/>
  <c r="AP156" i="15"/>
  <c r="AP152" i="15"/>
  <c r="AP151" i="15"/>
  <c r="AP154" i="15"/>
  <c r="AP164" i="15"/>
  <c r="AP150" i="15"/>
  <c r="AP165" i="15"/>
  <c r="AP158" i="15"/>
  <c r="AP157" i="15"/>
  <c r="AP167" i="15"/>
  <c r="AP159" i="15"/>
  <c r="AP163" i="15"/>
  <c r="AP161" i="15"/>
  <c r="AZ161" i="15" s="1"/>
  <c r="AP155" i="15"/>
  <c r="AP168" i="15"/>
  <c r="BQ129" i="15" l="1"/>
  <c r="AR160" i="15"/>
  <c r="AV160" i="15"/>
  <c r="AX160" i="15"/>
  <c r="AS160" i="15"/>
  <c r="AZ160" i="15"/>
  <c r="AY160" i="15"/>
  <c r="AQ160" i="15"/>
  <c r="AU160" i="15"/>
  <c r="AW160" i="15"/>
  <c r="AT160" i="15"/>
  <c r="AS152" i="15"/>
  <c r="AX152" i="15"/>
  <c r="AV152" i="15"/>
  <c r="AR152" i="15"/>
  <c r="AQ152" i="15"/>
  <c r="AZ152" i="15"/>
  <c r="AT152" i="15"/>
  <c r="AU152" i="15"/>
  <c r="AY152" i="15"/>
  <c r="AW152" i="15"/>
  <c r="AU159" i="15"/>
  <c r="AY159" i="15"/>
  <c r="AT159" i="15"/>
  <c r="AW159" i="15"/>
  <c r="AX159" i="15"/>
  <c r="AR159" i="15"/>
  <c r="AQ159" i="15"/>
  <c r="AZ159" i="15"/>
  <c r="AV159" i="15"/>
  <c r="AS159" i="15"/>
  <c r="AR151" i="15"/>
  <c r="AT151" i="15"/>
  <c r="AW151" i="15"/>
  <c r="AV151" i="15"/>
  <c r="AZ151" i="15"/>
  <c r="AQ151" i="15"/>
  <c r="AU151" i="15"/>
  <c r="AY151" i="15"/>
  <c r="AS151" i="15"/>
  <c r="AX151" i="15"/>
  <c r="AR157" i="15"/>
  <c r="AY157" i="15"/>
  <c r="AS157" i="15"/>
  <c r="AT157" i="15"/>
  <c r="AU157" i="15"/>
  <c r="AZ157" i="15"/>
  <c r="AQ157" i="15"/>
  <c r="AV157" i="15"/>
  <c r="AW157" i="15"/>
  <c r="AX157" i="15"/>
  <c r="AW155" i="15"/>
  <c r="AR155" i="15"/>
  <c r="AQ155" i="15"/>
  <c r="AZ155" i="15"/>
  <c r="AT155" i="15"/>
  <c r="AX155" i="15"/>
  <c r="AU155" i="15"/>
  <c r="AS155" i="15"/>
  <c r="AV155" i="15"/>
  <c r="AY155" i="15"/>
  <c r="AT158" i="15"/>
  <c r="AY158" i="15"/>
  <c r="AZ158" i="15"/>
  <c r="AW158" i="15"/>
  <c r="AS158" i="15"/>
  <c r="AV158" i="15"/>
  <c r="AX158" i="15"/>
  <c r="AU158" i="15"/>
  <c r="AQ158" i="15"/>
  <c r="AR158" i="15"/>
  <c r="BO107" i="15"/>
  <c r="BI101" i="15"/>
  <c r="BG107" i="15"/>
  <c r="BH107" i="15"/>
  <c r="BN132" i="15"/>
  <c r="BM110" i="15"/>
  <c r="BK101" i="15"/>
  <c r="BJ101" i="15"/>
  <c r="BL132" i="15"/>
  <c r="Y73" i="15"/>
  <c r="BF104" i="15"/>
  <c r="AZ153" i="15"/>
  <c r="AR153" i="15"/>
  <c r="AW153" i="15"/>
  <c r="AY153" i="15"/>
  <c r="AU153" i="15"/>
  <c r="AX153" i="15"/>
  <c r="AT153" i="15"/>
  <c r="AS153" i="15"/>
  <c r="AV153" i="15"/>
  <c r="AT150" i="15"/>
  <c r="AQ150" i="15"/>
  <c r="AR150" i="15"/>
  <c r="AX150" i="15"/>
  <c r="AU150" i="15"/>
  <c r="AW150" i="15"/>
  <c r="AZ150" i="15"/>
  <c r="AS150" i="15"/>
  <c r="AY150" i="15"/>
  <c r="AV150" i="15"/>
  <c r="AQ156" i="15"/>
  <c r="AW156" i="15"/>
  <c r="AZ156" i="15"/>
  <c r="AR156" i="15"/>
  <c r="AS156" i="15"/>
  <c r="AV156" i="15"/>
  <c r="AY156" i="15"/>
  <c r="AT156" i="15"/>
  <c r="AU156" i="15"/>
  <c r="AX156" i="15"/>
  <c r="AS154" i="15"/>
  <c r="AV154" i="15"/>
  <c r="AT154" i="15"/>
  <c r="AQ154" i="15"/>
  <c r="AZ154" i="15"/>
  <c r="AU154" i="15"/>
  <c r="AX154" i="15"/>
  <c r="AW154" i="15"/>
  <c r="AR154" i="15"/>
  <c r="AY154" i="15"/>
  <c r="BO101" i="15" l="1"/>
  <c r="BL101" i="15"/>
  <c r="Y74" i="15"/>
  <c r="BM132" i="15"/>
  <c r="BF99" i="15"/>
  <c r="BN101" i="15"/>
  <c r="BH104" i="15"/>
  <c r="BJ107" i="15"/>
  <c r="BG99" i="15"/>
  <c r="BK110" i="15"/>
  <c r="BI107" i="15"/>
  <c r="BQ101" i="15" l="1"/>
  <c r="BO132" i="15"/>
  <c r="BQ132" i="15" s="1"/>
  <c r="BI110" i="15"/>
  <c r="BG104" i="15"/>
  <c r="BQ104" i="15" s="1"/>
  <c r="BH110" i="15"/>
  <c r="BJ110" i="15"/>
  <c r="BM126" i="15"/>
  <c r="BL126" i="15"/>
  <c r="BN126" i="15"/>
  <c r="BF107" i="15"/>
  <c r="BK126" i="15"/>
  <c r="Y75" i="15"/>
  <c r="BQ110" i="15" l="1"/>
  <c r="BO126" i="15"/>
  <c r="BL107" i="15"/>
  <c r="BF106" i="15"/>
  <c r="BQ106" i="15" s="1"/>
  <c r="BG126" i="15"/>
  <c r="BI99" i="15"/>
  <c r="BQ99" i="15" s="1"/>
  <c r="BH126" i="15"/>
  <c r="BJ126" i="15"/>
  <c r="BK107" i="15"/>
  <c r="BQ107" i="15" s="1"/>
  <c r="BN107" i="15"/>
  <c r="BM107" i="15"/>
  <c r="Y76" i="15"/>
  <c r="BQ126" i="15" l="1"/>
  <c r="CE102" i="15"/>
  <c r="CG102" i="15" s="1"/>
  <c r="BW98" i="15"/>
  <c r="BX98" i="15"/>
  <c r="CD103" i="15"/>
  <c r="CC103" i="15"/>
  <c r="BZ98" i="15"/>
  <c r="CA103" i="15"/>
  <c r="BV98" i="15"/>
  <c r="Y77" i="15"/>
  <c r="BY98" i="15"/>
  <c r="CB103" i="15"/>
  <c r="BR98" i="15"/>
  <c r="BR99" i="15"/>
  <c r="BR103" i="15"/>
  <c r="BR105" i="15"/>
  <c r="BR129" i="15"/>
  <c r="BR101" i="15"/>
  <c r="BR126" i="15"/>
  <c r="BR132" i="15"/>
  <c r="CE105" i="15" l="1"/>
  <c r="CG105" i="15" s="1"/>
  <c r="Y78" i="15"/>
  <c r="CF98" i="15" s="1"/>
  <c r="BY103" i="15"/>
  <c r="CD107" i="15"/>
  <c r="BW103" i="15"/>
  <c r="BZ103" i="15"/>
  <c r="CA98" i="15"/>
  <c r="BV107" i="15"/>
  <c r="BX103" i="15"/>
  <c r="CC107" i="15"/>
  <c r="CB98" i="15"/>
  <c r="BS98" i="15"/>
  <c r="BR104" i="15"/>
  <c r="BS104" i="15" s="1"/>
  <c r="BR110" i="15"/>
  <c r="BR106" i="15"/>
  <c r="BR133" i="15" s="1"/>
  <c r="BR107" i="15"/>
  <c r="BS99" i="15" l="1"/>
  <c r="BS105" i="15"/>
  <c r="BS101" i="15"/>
  <c r="BS107" i="15"/>
  <c r="BS106" i="15"/>
  <c r="BS132" i="15"/>
  <c r="CE98" i="15"/>
  <c r="CA107" i="15"/>
  <c r="CB107" i="15"/>
  <c r="BV103" i="15"/>
  <c r="CG103" i="15" s="1"/>
  <c r="CD98" i="15"/>
  <c r="BZ107" i="15"/>
  <c r="BY107" i="15"/>
  <c r="BW107" i="15"/>
  <c r="CC98" i="15"/>
  <c r="BX107" i="15"/>
  <c r="Y79" i="15"/>
  <c r="BS126" i="15"/>
  <c r="BS103" i="15"/>
  <c r="BS110" i="15"/>
  <c r="BS129" i="15"/>
  <c r="CG98" i="15" l="1"/>
  <c r="BT132" i="15"/>
  <c r="BT120" i="15"/>
  <c r="BT102" i="15"/>
  <c r="BT131" i="15"/>
  <c r="BT130" i="15"/>
  <c r="BT128" i="15"/>
  <c r="BT124" i="15"/>
  <c r="BT114" i="15"/>
  <c r="BT127" i="15"/>
  <c r="BT115" i="15"/>
  <c r="BT112" i="15"/>
  <c r="BT106" i="15"/>
  <c r="BT99" i="15"/>
  <c r="BT125" i="15"/>
  <c r="BT101" i="15"/>
  <c r="BT109" i="15"/>
  <c r="BT105" i="15"/>
  <c r="BT119" i="15"/>
  <c r="BT110" i="15"/>
  <c r="BT118" i="15"/>
  <c r="BT122" i="15"/>
  <c r="BT107" i="15"/>
  <c r="BT123" i="15"/>
  <c r="BT113" i="15"/>
  <c r="BT126" i="15"/>
  <c r="BT100" i="15"/>
  <c r="BT116" i="15"/>
  <c r="BT108" i="15"/>
  <c r="BT117" i="15"/>
  <c r="BT103" i="15"/>
  <c r="CE112" i="15"/>
  <c r="CG112" i="15" s="1"/>
  <c r="BZ123" i="15"/>
  <c r="BV101" i="15"/>
  <c r="BW101" i="15"/>
  <c r="CB131" i="15"/>
  <c r="Y80" i="15"/>
  <c r="CC132" i="15"/>
  <c r="BX115" i="15"/>
  <c r="BY113" i="15"/>
  <c r="CA131" i="15"/>
  <c r="CD132" i="15"/>
  <c r="BT98" i="15"/>
  <c r="BT111" i="15"/>
  <c r="BT129" i="15"/>
  <c r="BT121" i="15"/>
  <c r="BT104" i="15"/>
  <c r="CG131" i="15" l="1"/>
  <c r="CE116" i="15"/>
  <c r="BW123" i="15"/>
  <c r="CC123" i="15"/>
  <c r="BV123" i="15"/>
  <c r="CD123" i="15"/>
  <c r="BZ115" i="15"/>
  <c r="CA126" i="15"/>
  <c r="BY115" i="15"/>
  <c r="CB126" i="15"/>
  <c r="Y81" i="15"/>
  <c r="BX113" i="15"/>
  <c r="BT133" i="15"/>
  <c r="CI99" i="15"/>
  <c r="BE154" i="15" l="1"/>
  <c r="BE168" i="15"/>
  <c r="BE160" i="15"/>
  <c r="BE158" i="15"/>
  <c r="BE164" i="15"/>
  <c r="BE161" i="15"/>
  <c r="BF161" i="15" s="1"/>
  <c r="BE157" i="15"/>
  <c r="BE152" i="15"/>
  <c r="BE166" i="15"/>
  <c r="BE150" i="15"/>
  <c r="BE156" i="15"/>
  <c r="BE153" i="15"/>
  <c r="BE162" i="15"/>
  <c r="BE165" i="15"/>
  <c r="BE159" i="15"/>
  <c r="BE151" i="15"/>
  <c r="BE167" i="15"/>
  <c r="BE155" i="15"/>
  <c r="BE163" i="15"/>
  <c r="CE101" i="15"/>
  <c r="CA123" i="15"/>
  <c r="Y82" i="15"/>
  <c r="CB123" i="15"/>
  <c r="CD126" i="15"/>
  <c r="BX116" i="15"/>
  <c r="BY123" i="15"/>
  <c r="BZ126" i="15"/>
  <c r="BW116" i="15"/>
  <c r="BV117" i="15"/>
  <c r="CC126" i="15"/>
  <c r="BH156" i="15" l="1"/>
  <c r="BL156" i="15"/>
  <c r="BN156" i="15"/>
  <c r="BM156" i="15"/>
  <c r="BI156" i="15"/>
  <c r="BO156" i="15"/>
  <c r="BK156" i="15"/>
  <c r="BF156" i="15"/>
  <c r="BP156" i="15" s="1"/>
  <c r="BG156" i="15"/>
  <c r="BJ156" i="15"/>
  <c r="BK159" i="15"/>
  <c r="BN159" i="15"/>
  <c r="BL159" i="15"/>
  <c r="BJ159" i="15"/>
  <c r="BH159" i="15"/>
  <c r="BO159" i="15"/>
  <c r="BG159" i="15"/>
  <c r="BM159" i="15"/>
  <c r="BF159" i="15"/>
  <c r="BI159" i="15"/>
  <c r="BI150" i="15"/>
  <c r="BG150" i="15"/>
  <c r="BL150" i="15"/>
  <c r="BH150" i="15"/>
  <c r="BN150" i="15"/>
  <c r="BJ150" i="15"/>
  <c r="BO150" i="15"/>
  <c r="BF150" i="15"/>
  <c r="BP150" i="15" s="1"/>
  <c r="BK150" i="15"/>
  <c r="BM150" i="15"/>
  <c r="BJ155" i="15"/>
  <c r="BN155" i="15"/>
  <c r="BH155" i="15"/>
  <c r="BI155" i="15"/>
  <c r="BL155" i="15"/>
  <c r="BK155" i="15"/>
  <c r="BM155" i="15"/>
  <c r="BF155" i="15"/>
  <c r="BP155" i="15" s="1"/>
  <c r="BG155" i="15"/>
  <c r="BO155" i="15"/>
  <c r="BH153" i="15"/>
  <c r="BM153" i="15"/>
  <c r="BN153" i="15"/>
  <c r="BG153" i="15"/>
  <c r="BJ153" i="15"/>
  <c r="BI153" i="15"/>
  <c r="BO153" i="15"/>
  <c r="BL153" i="15"/>
  <c r="BK153" i="15"/>
  <c r="BF153" i="15"/>
  <c r="BP153" i="15" s="1"/>
  <c r="BK152" i="15"/>
  <c r="BH152" i="15"/>
  <c r="BO152" i="15"/>
  <c r="BG152" i="15"/>
  <c r="BI152" i="15"/>
  <c r="BL152" i="15"/>
  <c r="BF152" i="15"/>
  <c r="BP152" i="15" s="1"/>
  <c r="BN152" i="15"/>
  <c r="BJ152" i="15"/>
  <c r="BM152" i="15"/>
  <c r="BN157" i="15"/>
  <c r="BL157" i="15"/>
  <c r="BO157" i="15"/>
  <c r="BF157" i="15"/>
  <c r="BP157" i="15" s="1"/>
  <c r="BJ157" i="15"/>
  <c r="BH157" i="15"/>
  <c r="BM157" i="15"/>
  <c r="BG157" i="15"/>
  <c r="BK157" i="15"/>
  <c r="BI157" i="15"/>
  <c r="BO158" i="15"/>
  <c r="BN158" i="15"/>
  <c r="BL158" i="15"/>
  <c r="BI158" i="15"/>
  <c r="BG158" i="15"/>
  <c r="BK158" i="15"/>
  <c r="BJ158" i="15"/>
  <c r="BF158" i="15"/>
  <c r="BM158" i="15"/>
  <c r="BH158" i="15"/>
  <c r="BI160" i="15"/>
  <c r="BN160" i="15"/>
  <c r="BO160" i="15"/>
  <c r="BG160" i="15"/>
  <c r="BL160" i="15"/>
  <c r="BK160" i="15"/>
  <c r="BM160" i="15"/>
  <c r="BH160" i="15"/>
  <c r="BJ160" i="15"/>
  <c r="BF160" i="15"/>
  <c r="CE110" i="15"/>
  <c r="CG110" i="15" s="1"/>
  <c r="CD120" i="15"/>
  <c r="CA116" i="15"/>
  <c r="BZ132" i="15"/>
  <c r="Y83" i="15"/>
  <c r="CB116" i="15"/>
  <c r="BY126" i="15"/>
  <c r="CC101" i="15"/>
  <c r="BW115" i="15"/>
  <c r="BV132" i="15"/>
  <c r="BX123" i="15"/>
  <c r="CG123" i="15" s="1"/>
  <c r="BN151" i="15"/>
  <c r="BF151" i="15"/>
  <c r="BG151" i="15"/>
  <c r="BJ151" i="15"/>
  <c r="BM151" i="15"/>
  <c r="BK151" i="15"/>
  <c r="BI151" i="15"/>
  <c r="BL151" i="15"/>
  <c r="BO151" i="15"/>
  <c r="BH151" i="15"/>
  <c r="BI154" i="15"/>
  <c r="BO154" i="15"/>
  <c r="BN154" i="15"/>
  <c r="BM154" i="15"/>
  <c r="BF154" i="15"/>
  <c r="BJ154" i="15"/>
  <c r="BK154" i="15"/>
  <c r="BL154" i="15"/>
  <c r="BG154" i="15"/>
  <c r="BH154" i="15"/>
  <c r="CE107" i="15" l="1"/>
  <c r="CG107" i="15" s="1"/>
  <c r="BV113" i="15"/>
  <c r="BX126" i="15"/>
  <c r="BY116" i="15"/>
  <c r="CC129" i="15"/>
  <c r="Y84" i="15"/>
  <c r="BW132" i="15"/>
  <c r="CD101" i="15"/>
  <c r="CA115" i="15"/>
  <c r="CB115" i="15"/>
  <c r="CE113" i="15" l="1"/>
  <c r="CC120" i="15"/>
  <c r="CG120" i="15" s="1"/>
  <c r="Y85" i="15"/>
  <c r="CA101" i="15"/>
  <c r="BY132" i="15"/>
  <c r="BW126" i="15"/>
  <c r="CD122" i="15"/>
  <c r="BV116" i="15"/>
  <c r="CG116" i="15" s="1"/>
  <c r="CB101" i="15"/>
  <c r="BX101" i="15"/>
  <c r="BZ101" i="15"/>
  <c r="CG101" i="15" l="1"/>
  <c r="CE126" i="15"/>
  <c r="CG126" i="15" s="1"/>
  <c r="BX117" i="15"/>
  <c r="BW113" i="15"/>
  <c r="BY117" i="15"/>
  <c r="CB132" i="15"/>
  <c r="BZ113" i="15"/>
  <c r="CC122" i="15"/>
  <c r="CG122" i="15" s="1"/>
  <c r="CA132" i="15"/>
  <c r="BV115" i="15"/>
  <c r="CG115" i="15" s="1"/>
  <c r="Y86" i="15"/>
  <c r="CD129" i="15"/>
  <c r="CG129" i="15" s="1"/>
  <c r="CG132" i="15" l="1"/>
  <c r="CG117" i="15"/>
  <c r="CG113" i="15"/>
  <c r="CH131" i="15" s="1"/>
  <c r="CT103" i="15"/>
  <c r="Y87" i="15"/>
  <c r="CL103" i="15"/>
  <c r="CR103" i="15"/>
  <c r="CQ103" i="15"/>
  <c r="CP103" i="15"/>
  <c r="CN103" i="15"/>
  <c r="CO103" i="15"/>
  <c r="CM103" i="15"/>
  <c r="CS103" i="15"/>
  <c r="CH122" i="15"/>
  <c r="CH129" i="15"/>
  <c r="CH112" i="15"/>
  <c r="CH98" i="15"/>
  <c r="CH102" i="15"/>
  <c r="CH117" i="15" l="1"/>
  <c r="CH107" i="15"/>
  <c r="CH110" i="15"/>
  <c r="CH123" i="15"/>
  <c r="CI98" i="15"/>
  <c r="CU101" i="15"/>
  <c r="CQ101" i="15"/>
  <c r="CO101" i="15"/>
  <c r="CP101" i="15"/>
  <c r="CN101" i="15"/>
  <c r="Y88" i="15"/>
  <c r="CT101" i="15"/>
  <c r="CL110" i="15"/>
  <c r="CR101" i="15"/>
  <c r="CS101" i="15"/>
  <c r="CM101" i="15"/>
  <c r="CH113" i="15"/>
  <c r="CH116" i="15"/>
  <c r="CH120" i="15"/>
  <c r="CH115" i="15"/>
  <c r="CH103" i="15"/>
  <c r="CH126" i="15"/>
  <c r="CH105" i="15"/>
  <c r="CH101" i="15"/>
  <c r="CH132" i="15"/>
  <c r="CI110" i="15" l="1"/>
  <c r="CI112" i="15"/>
  <c r="CI107" i="15"/>
  <c r="CI117" i="15"/>
  <c r="CI105" i="15"/>
  <c r="CI129" i="15"/>
  <c r="CI123" i="15"/>
  <c r="CI101" i="15"/>
  <c r="CI132" i="15"/>
  <c r="CI131" i="15"/>
  <c r="CU110" i="15"/>
  <c r="CT110" i="15"/>
  <c r="CM110" i="15"/>
  <c r="CS110" i="15"/>
  <c r="CO110" i="15"/>
  <c r="Y89" i="15"/>
  <c r="CR110" i="15"/>
  <c r="CL99" i="15"/>
  <c r="CN110" i="15"/>
  <c r="CQ110" i="15"/>
  <c r="CP110" i="15"/>
  <c r="CI103" i="15"/>
  <c r="CI115" i="15"/>
  <c r="CI120" i="15"/>
  <c r="CI122" i="15"/>
  <c r="CI102" i="15"/>
  <c r="CI116" i="15"/>
  <c r="CI126" i="15"/>
  <c r="CI113" i="15"/>
  <c r="CH133" i="15"/>
  <c r="CJ108" i="15" l="1"/>
  <c r="CJ103" i="15"/>
  <c r="CJ130" i="15"/>
  <c r="CJ129" i="15"/>
  <c r="CJ99" i="15"/>
  <c r="CJ100" i="15"/>
  <c r="CJ106" i="15"/>
  <c r="CJ101" i="15"/>
  <c r="CJ98" i="15"/>
  <c r="CJ118" i="15"/>
  <c r="CJ128" i="15"/>
  <c r="CL101" i="15"/>
  <c r="CN98" i="15"/>
  <c r="CR98" i="15"/>
  <c r="CS98" i="15"/>
  <c r="CT98" i="15"/>
  <c r="CQ98" i="15"/>
  <c r="CM98" i="15"/>
  <c r="Y90" i="15"/>
  <c r="CO98" i="15"/>
  <c r="CP98" i="15"/>
  <c r="CJ104" i="15"/>
  <c r="CJ105" i="15"/>
  <c r="CJ110" i="15"/>
  <c r="CJ116" i="15"/>
  <c r="CJ125" i="15"/>
  <c r="CJ102" i="15"/>
  <c r="CJ126" i="15"/>
  <c r="CJ132" i="15"/>
  <c r="CJ127" i="15"/>
  <c r="CJ124" i="15"/>
  <c r="CJ112" i="15"/>
  <c r="CJ122" i="15"/>
  <c r="CJ119" i="15"/>
  <c r="CJ111" i="15"/>
  <c r="CJ117" i="15"/>
  <c r="CJ109" i="15"/>
  <c r="CJ120" i="15"/>
  <c r="CJ114" i="15"/>
  <c r="CJ131" i="15"/>
  <c r="CJ107" i="15"/>
  <c r="CJ113" i="15"/>
  <c r="CJ121" i="15"/>
  <c r="CJ115" i="15"/>
  <c r="CJ123" i="15"/>
  <c r="CJ133" i="15" l="1"/>
  <c r="CU105" i="15"/>
  <c r="CP105" i="15"/>
  <c r="CS105" i="15"/>
  <c r="CO105" i="15"/>
  <c r="CQ105" i="15"/>
  <c r="Y91" i="15"/>
  <c r="CM99" i="15"/>
  <c r="CL98" i="15"/>
  <c r="CT105" i="15"/>
  <c r="CN105" i="15"/>
  <c r="CR105" i="15"/>
  <c r="BU169" i="15" l="1"/>
  <c r="BU171" i="15"/>
  <c r="BU153" i="15"/>
  <c r="BU156" i="15"/>
  <c r="BU173" i="15"/>
  <c r="BU170" i="15"/>
  <c r="BU158" i="15"/>
  <c r="BU164" i="15"/>
  <c r="BU155" i="15"/>
  <c r="BU150" i="15"/>
  <c r="CF150" i="15" s="1" a="1"/>
  <c r="CF150" i="15" s="1"/>
  <c r="BU167" i="15"/>
  <c r="BU166" i="15"/>
  <c r="BU165" i="15"/>
  <c r="BU152" i="15"/>
  <c r="BU159" i="15"/>
  <c r="BU160" i="15"/>
  <c r="CF160" i="15" s="1" a="1"/>
  <c r="CF160" i="15" s="1"/>
  <c r="BU151" i="15"/>
  <c r="CE151" i="15" s="1"/>
  <c r="BU168" i="15"/>
  <c r="BU163" i="15"/>
  <c r="BU162" i="15"/>
  <c r="BU172" i="15"/>
  <c r="BU157" i="15"/>
  <c r="BU161" i="15"/>
  <c r="BU154" i="15"/>
  <c r="CF154" i="15" s="1" a="1"/>
  <c r="CF154" i="15" s="1"/>
  <c r="CU129" i="15"/>
  <c r="CS99" i="15"/>
  <c r="CT129" i="15"/>
  <c r="CP99" i="15"/>
  <c r="CN99" i="15"/>
  <c r="CQ99" i="15"/>
  <c r="CR99" i="15"/>
  <c r="CM105" i="15"/>
  <c r="CL105" i="15"/>
  <c r="Y92" i="15"/>
  <c r="CO99" i="15"/>
  <c r="CC160" i="15" l="1"/>
  <c r="BX160" i="15"/>
  <c r="BW160" i="15"/>
  <c r="BV160" i="15"/>
  <c r="CE160" i="15"/>
  <c r="BZ160" i="15"/>
  <c r="CA160" i="15"/>
  <c r="BY160" i="15"/>
  <c r="CD160" i="15"/>
  <c r="CB160" i="15"/>
  <c r="CB167" i="15"/>
  <c r="BZ167" i="15"/>
  <c r="CC167" i="15"/>
  <c r="BV167" i="15"/>
  <c r="BX167" i="15"/>
  <c r="CD167" i="15"/>
  <c r="BW167" i="15"/>
  <c r="BY167" i="15"/>
  <c r="CA167" i="15"/>
  <c r="CE167" i="15"/>
  <c r="CC150" i="15"/>
  <c r="CD150" i="15"/>
  <c r="BV150" i="15"/>
  <c r="BZ150" i="15"/>
  <c r="CB150" i="15"/>
  <c r="BY150" i="15"/>
  <c r="BW150" i="15"/>
  <c r="CE150" i="15"/>
  <c r="BX150" i="15"/>
  <c r="CA150" i="15"/>
  <c r="CE162" i="15"/>
  <c r="CD162" i="15"/>
  <c r="CA162" i="15"/>
  <c r="BW162" i="15"/>
  <c r="CB162" i="15"/>
  <c r="BX162" i="15"/>
  <c r="BZ162" i="15"/>
  <c r="CC162" i="15"/>
  <c r="BV162" i="15"/>
  <c r="BY162" i="15"/>
  <c r="CE152" i="15"/>
  <c r="BY152" i="15"/>
  <c r="BW152" i="15"/>
  <c r="BX152" i="15"/>
  <c r="BZ152" i="15"/>
  <c r="CD152" i="15"/>
  <c r="CC152" i="15"/>
  <c r="CA152" i="15"/>
  <c r="BV152" i="15"/>
  <c r="CB152" i="15"/>
  <c r="CC155" i="15"/>
  <c r="CD155" i="15"/>
  <c r="BX155" i="15"/>
  <c r="CB155" i="15"/>
  <c r="CA155" i="15"/>
  <c r="BZ155" i="15"/>
  <c r="BY155" i="15"/>
  <c r="BV155" i="15"/>
  <c r="BW155" i="15"/>
  <c r="CE155" i="15"/>
  <c r="CA163" i="15"/>
  <c r="BV163" i="15"/>
  <c r="CC163" i="15"/>
  <c r="CB163" i="15"/>
  <c r="BY163" i="15"/>
  <c r="BZ163" i="15"/>
  <c r="CD163" i="15"/>
  <c r="CE163" i="15"/>
  <c r="BX163" i="15"/>
  <c r="BW163" i="15"/>
  <c r="CU99" i="15"/>
  <c r="CS129" i="15"/>
  <c r="CL113" i="15"/>
  <c r="Y93" i="15"/>
  <c r="CO104" i="15"/>
  <c r="CR129" i="15"/>
  <c r="CT99" i="15"/>
  <c r="CM104" i="15"/>
  <c r="CQ129" i="15"/>
  <c r="CN107" i="15"/>
  <c r="CP129" i="15"/>
  <c r="BX164" i="15"/>
  <c r="CD164" i="15"/>
  <c r="BV164" i="15"/>
  <c r="CB164" i="15"/>
  <c r="CA164" i="15"/>
  <c r="BY164" i="15"/>
  <c r="CE164" i="15"/>
  <c r="BW164" i="15"/>
  <c r="BZ164" i="15"/>
  <c r="CC164" i="15"/>
  <c r="BZ158" i="15"/>
  <c r="BV158" i="15"/>
  <c r="BY158" i="15"/>
  <c r="BW158" i="15"/>
  <c r="CE158" i="15"/>
  <c r="CB158" i="15"/>
  <c r="BX158" i="15"/>
  <c r="CD158" i="15"/>
  <c r="CA158" i="15"/>
  <c r="CC158" i="15"/>
  <c r="CC159" i="15"/>
  <c r="BZ159" i="15"/>
  <c r="CA159" i="15"/>
  <c r="BV159" i="15"/>
  <c r="CE159" i="15"/>
  <c r="BW159" i="15"/>
  <c r="BY159" i="15"/>
  <c r="BX159" i="15"/>
  <c r="CD159" i="15"/>
  <c r="CB159" i="15"/>
  <c r="CA168" i="15"/>
  <c r="BZ168" i="15"/>
  <c r="BY168" i="15"/>
  <c r="BV168" i="15"/>
  <c r="CE168" i="15"/>
  <c r="CB168" i="15"/>
  <c r="CC168" i="15"/>
  <c r="CD168" i="15"/>
  <c r="BW168" i="15"/>
  <c r="BX168" i="15"/>
  <c r="BV154" i="15"/>
  <c r="CA154" i="15"/>
  <c r="BZ154" i="15"/>
  <c r="CE154" i="15"/>
  <c r="CC154" i="15"/>
  <c r="BX154" i="15"/>
  <c r="CB154" i="15"/>
  <c r="BY154" i="15"/>
  <c r="CD154" i="15"/>
  <c r="BW154" i="15"/>
  <c r="BY156" i="15"/>
  <c r="CB156" i="15"/>
  <c r="BX156" i="15"/>
  <c r="CC156" i="15"/>
  <c r="CA156" i="15"/>
  <c r="BZ156" i="15"/>
  <c r="CE156" i="15"/>
  <c r="CD156" i="15"/>
  <c r="BV156" i="15"/>
  <c r="BW156" i="15"/>
  <c r="CD165" i="15"/>
  <c r="BY165" i="15"/>
  <c r="CA165" i="15"/>
  <c r="CB165" i="15"/>
  <c r="BX165" i="15"/>
  <c r="CE165" i="15"/>
  <c r="BV165" i="15"/>
  <c r="CC165" i="15"/>
  <c r="BW165" i="15"/>
  <c r="BZ165" i="15"/>
  <c r="BY161" i="15"/>
  <c r="BZ161" i="15"/>
  <c r="CA161" i="15"/>
  <c r="CB161" i="15"/>
  <c r="BW161" i="15"/>
  <c r="CE161" i="15"/>
  <c r="BV161" i="15"/>
  <c r="BX161" i="15"/>
  <c r="CC161" i="15"/>
  <c r="CD161" i="15"/>
  <c r="BY153" i="15"/>
  <c r="BX153" i="15"/>
  <c r="CB153" i="15"/>
  <c r="CE153" i="15"/>
  <c r="BW153" i="15"/>
  <c r="CA153" i="15"/>
  <c r="CC153" i="15"/>
  <c r="BZ153" i="15"/>
  <c r="BV153" i="15"/>
  <c r="CD153" i="15"/>
  <c r="BZ151" i="15"/>
  <c r="BW151" i="15"/>
  <c r="CC151" i="15"/>
  <c r="CD151" i="15"/>
  <c r="BX151" i="15"/>
  <c r="CA151" i="15"/>
  <c r="BV151" i="15"/>
  <c r="BY151" i="15"/>
  <c r="CB151" i="15"/>
  <c r="BV157" i="15"/>
  <c r="CC157" i="15"/>
  <c r="CD157" i="15"/>
  <c r="BW157" i="15"/>
  <c r="CA157" i="15"/>
  <c r="BY157" i="15"/>
  <c r="BZ157" i="15"/>
  <c r="CB157" i="15"/>
  <c r="CE157" i="15"/>
  <c r="BX157" i="15"/>
  <c r="CE166" i="15"/>
  <c r="BX166" i="15"/>
  <c r="CA166" i="15"/>
  <c r="BW166" i="15"/>
  <c r="BZ166" i="15"/>
  <c r="CC166" i="15"/>
  <c r="CB166" i="15"/>
  <c r="BY166" i="15"/>
  <c r="CD166" i="15"/>
  <c r="BV166" i="15"/>
  <c r="AJ132" i="15"/>
  <c r="AJ128" i="15"/>
  <c r="AL128" i="15" s="1"/>
  <c r="AJ124" i="15"/>
  <c r="AL124" i="15" s="1"/>
  <c r="AJ120" i="15"/>
  <c r="AJ116" i="15"/>
  <c r="AJ112" i="15"/>
  <c r="AL112" i="15" s="1"/>
  <c r="AJ108" i="15"/>
  <c r="AJ131" i="15"/>
  <c r="AJ127" i="15"/>
  <c r="AJ123" i="15"/>
  <c r="AL123" i="15" s="1"/>
  <c r="AJ119" i="15"/>
  <c r="AJ115" i="15"/>
  <c r="AJ111" i="15"/>
  <c r="AL111" i="15" s="1"/>
  <c r="AJ107" i="15"/>
  <c r="AL107" i="15" s="1"/>
  <c r="AJ103" i="15"/>
  <c r="AL103" i="15" s="1"/>
  <c r="AJ99" i="15"/>
  <c r="AJ130" i="15"/>
  <c r="AJ126" i="15"/>
  <c r="AL126" i="15" s="1"/>
  <c r="AJ122" i="15"/>
  <c r="AJ118" i="15"/>
  <c r="AJ114" i="15"/>
  <c r="AJ110" i="15"/>
  <c r="AL110" i="15" s="1"/>
  <c r="AJ106" i="15"/>
  <c r="AJ102" i="15"/>
  <c r="AJ129" i="15"/>
  <c r="AL129" i="15" s="1"/>
  <c r="AJ125" i="15"/>
  <c r="AJ121" i="15"/>
  <c r="AJ117" i="15"/>
  <c r="AJ113" i="15"/>
  <c r="AL113" i="15" s="1"/>
  <c r="AJ109" i="15"/>
  <c r="AJ105" i="15"/>
  <c r="AJ101" i="15"/>
  <c r="AL101" i="15" s="1"/>
  <c r="AJ100" i="15"/>
  <c r="AJ104" i="15"/>
  <c r="AM128" i="15"/>
  <c r="AN128" i="15" s="1"/>
  <c r="AM123" i="15"/>
  <c r="AN123" i="15" s="1"/>
  <c r="AL99" i="15" l="1"/>
  <c r="AM99" i="15" s="1"/>
  <c r="AN99" i="15" s="1"/>
  <c r="AL115" i="15"/>
  <c r="AM115" i="15" s="1"/>
  <c r="AN115" i="15" s="1"/>
  <c r="AL119" i="15"/>
  <c r="AM119" i="15" s="1"/>
  <c r="AN119" i="15" s="1"/>
  <c r="CU104" i="15"/>
  <c r="CS107" i="15"/>
  <c r="CP107" i="15"/>
  <c r="CO107" i="15"/>
  <c r="CM107" i="15"/>
  <c r="CN104" i="15"/>
  <c r="CL104" i="15"/>
  <c r="CR107" i="15"/>
  <c r="Y94" i="15"/>
  <c r="CQ107" i="15"/>
  <c r="CT104" i="15"/>
  <c r="AL104" i="15"/>
  <c r="AM104" i="15" s="1"/>
  <c r="AN104" i="15" s="1"/>
  <c r="AL127" i="15"/>
  <c r="AM127" i="15" s="1"/>
  <c r="AN127" i="15" s="1"/>
  <c r="AL117" i="15"/>
  <c r="AM117" i="15" s="1"/>
  <c r="AN117" i="15" s="1"/>
  <c r="AL131" i="15"/>
  <c r="AM131" i="15" s="1"/>
  <c r="AN131" i="15" s="1"/>
  <c r="AL121" i="15"/>
  <c r="AM121" i="15" s="1"/>
  <c r="AN121" i="15" s="1"/>
  <c r="AL100" i="15"/>
  <c r="AM100" i="15" s="1"/>
  <c r="AN100" i="15" s="1"/>
  <c r="AL116" i="15"/>
  <c r="AM116" i="15" s="1"/>
  <c r="AN116" i="15" s="1"/>
  <c r="AL105" i="15"/>
  <c r="AM105" i="15" s="1"/>
  <c r="AN105" i="15" s="1"/>
  <c r="AL108" i="15"/>
  <c r="AM108" i="15" s="1"/>
  <c r="AN108" i="15" s="1"/>
  <c r="AL125" i="15"/>
  <c r="AM125" i="15" s="1"/>
  <c r="AN125" i="15" s="1"/>
  <c r="AL102" i="15"/>
  <c r="AM102" i="15" s="1"/>
  <c r="AN102" i="15" s="1"/>
  <c r="AL120" i="15"/>
  <c r="AM120" i="15" s="1"/>
  <c r="AN120" i="15" s="1"/>
  <c r="AL114" i="15"/>
  <c r="AM114" i="15" s="1"/>
  <c r="AN114" i="15" s="1"/>
  <c r="AL132" i="15"/>
  <c r="AM132" i="15" s="1"/>
  <c r="AN132" i="15" s="1"/>
  <c r="AL109" i="15"/>
  <c r="AM109" i="15" s="1"/>
  <c r="AN109" i="15" s="1"/>
  <c r="AL118" i="15"/>
  <c r="AM118" i="15" s="1"/>
  <c r="AN118" i="15" s="1"/>
  <c r="AL130" i="15"/>
  <c r="AL106" i="15"/>
  <c r="AM106" i="15" s="1"/>
  <c r="AN106" i="15" s="1"/>
  <c r="AL122" i="15"/>
  <c r="AM122" i="15" s="1"/>
  <c r="AN122" i="15" s="1"/>
  <c r="E45" i="15"/>
  <c r="G45" i="15" s="1"/>
  <c r="I45" i="15" s="1"/>
  <c r="K45" i="15" s="1"/>
  <c r="M45" i="15" s="1"/>
  <c r="O45" i="15" s="1"/>
  <c r="CU107" i="15" l="1"/>
  <c r="CM113" i="15"/>
  <c r="CQ104" i="15"/>
  <c r="CO129" i="15"/>
  <c r="CL100" i="15"/>
  <c r="CP104" i="15"/>
  <c r="CR104" i="15"/>
  <c r="CT107" i="15"/>
  <c r="CN129" i="15"/>
  <c r="CS104" i="15"/>
  <c r="Y95" i="15"/>
  <c r="Q45" i="15"/>
  <c r="S45" i="15" s="1"/>
  <c r="U45" i="15" s="1"/>
  <c r="AK98" i="15" s="1"/>
  <c r="CU113" i="15" l="1"/>
  <c r="CQ106" i="15"/>
  <c r="CT106" i="15"/>
  <c r="CL107" i="15"/>
  <c r="CS106" i="15"/>
  <c r="CR106" i="15"/>
  <c r="CP106" i="15"/>
  <c r="CN113" i="15"/>
  <c r="CO113" i="15"/>
  <c r="CM100" i="15"/>
  <c r="AJ98" i="15"/>
  <c r="W45" i="15"/>
  <c r="BV97" i="15"/>
  <c r="AR97" i="15"/>
  <c r="AL98" i="15" l="1"/>
  <c r="AM130" i="15" s="1"/>
  <c r="CX106" i="15"/>
  <c r="CX104" i="15"/>
  <c r="AM107" i="15"/>
  <c r="AM126" i="15"/>
  <c r="AM101" i="15"/>
  <c r="AM110" i="15"/>
  <c r="AM124" i="15"/>
  <c r="AM113" i="15"/>
  <c r="AM129" i="15"/>
  <c r="AM103" i="15"/>
  <c r="BW97" i="15"/>
  <c r="BV149" i="15"/>
  <c r="AS97" i="15"/>
  <c r="AR149" i="15"/>
  <c r="CX105" i="15" l="1"/>
  <c r="CX129" i="15"/>
  <c r="CX99" i="15"/>
  <c r="CX98" i="15"/>
  <c r="CX100" i="15"/>
  <c r="CX103" i="15"/>
  <c r="CX101" i="15"/>
  <c r="CY101" i="15" s="1"/>
  <c r="AM111" i="15"/>
  <c r="CX110" i="15"/>
  <c r="AM112" i="15"/>
  <c r="AN112" i="15" s="1"/>
  <c r="AM98" i="15"/>
  <c r="AM133" i="15" s="1"/>
  <c r="CX113" i="15"/>
  <c r="AN124" i="15"/>
  <c r="BX97" i="15"/>
  <c r="BW149" i="15"/>
  <c r="AT97" i="15"/>
  <c r="AS149" i="15"/>
  <c r="CY113" i="15" l="1"/>
  <c r="CY110" i="15"/>
  <c r="CY103" i="15"/>
  <c r="CY100" i="15"/>
  <c r="AN130" i="15"/>
  <c r="AN111" i="15"/>
  <c r="CY107" i="15"/>
  <c r="CX133" i="15"/>
  <c r="CY98" i="15"/>
  <c r="AN98" i="15"/>
  <c r="CY99" i="15"/>
  <c r="CY129" i="15"/>
  <c r="AN103" i="15"/>
  <c r="CY105" i="15"/>
  <c r="AN107" i="15"/>
  <c r="AN110" i="15"/>
  <c r="CY106" i="15"/>
  <c r="CY104" i="15"/>
  <c r="AN113" i="15"/>
  <c r="AN101" i="15"/>
  <c r="AN129" i="15"/>
  <c r="AN126" i="15"/>
  <c r="BY97" i="15"/>
  <c r="BX149" i="15"/>
  <c r="AU97" i="15"/>
  <c r="AT149" i="15"/>
  <c r="CZ106" i="15" l="1"/>
  <c r="AO126" i="15"/>
  <c r="AO129" i="15"/>
  <c r="AO110" i="15"/>
  <c r="AO132" i="15"/>
  <c r="AO120" i="15"/>
  <c r="CZ104" i="15"/>
  <c r="CZ99" i="15"/>
  <c r="CZ105" i="15"/>
  <c r="AO128" i="15"/>
  <c r="AO131" i="15"/>
  <c r="AO101" i="15"/>
  <c r="CZ101" i="15"/>
  <c r="CZ129" i="15"/>
  <c r="AO123" i="15"/>
  <c r="AO118" i="15"/>
  <c r="AO109" i="15"/>
  <c r="CZ131" i="15"/>
  <c r="CZ115" i="15"/>
  <c r="CZ125" i="15"/>
  <c r="CZ123" i="15"/>
  <c r="CZ126" i="15"/>
  <c r="CZ109" i="15"/>
  <c r="CZ122" i="15"/>
  <c r="CZ98" i="15"/>
  <c r="CZ132" i="15"/>
  <c r="CZ114" i="15"/>
  <c r="CZ127" i="15"/>
  <c r="CZ118" i="15"/>
  <c r="CZ124" i="15"/>
  <c r="CZ128" i="15"/>
  <c r="CZ112" i="15"/>
  <c r="CZ120" i="15"/>
  <c r="CZ116" i="15"/>
  <c r="CZ111" i="15"/>
  <c r="CZ102" i="15"/>
  <c r="CZ130" i="15"/>
  <c r="CZ121" i="15"/>
  <c r="CZ119" i="15"/>
  <c r="CZ117" i="15"/>
  <c r="CZ108" i="15"/>
  <c r="AO98" i="15"/>
  <c r="AO103" i="15"/>
  <c r="AO106" i="15"/>
  <c r="AO117" i="15"/>
  <c r="AO122" i="15"/>
  <c r="AO107" i="15"/>
  <c r="AO99" i="15"/>
  <c r="AO111" i="15"/>
  <c r="AO124" i="15"/>
  <c r="CZ107" i="15"/>
  <c r="AO121" i="15"/>
  <c r="AO119" i="15"/>
  <c r="AO105" i="15"/>
  <c r="AO104" i="15"/>
  <c r="AO116" i="15"/>
  <c r="AO125" i="15"/>
  <c r="CZ100" i="15"/>
  <c r="AO130" i="15"/>
  <c r="AO100" i="15"/>
  <c r="AO115" i="15"/>
  <c r="AO114" i="15"/>
  <c r="AO127" i="15"/>
  <c r="AO112" i="15"/>
  <c r="AO108" i="15"/>
  <c r="AO102" i="15"/>
  <c r="CZ110" i="15"/>
  <c r="CZ103" i="15"/>
  <c r="AO113" i="15"/>
  <c r="CZ113" i="15"/>
  <c r="BZ97" i="15"/>
  <c r="BY149" i="15"/>
  <c r="AV97" i="15"/>
  <c r="AU149" i="15"/>
  <c r="CZ133" i="15" l="1"/>
  <c r="CK163" i="15" s="1"/>
  <c r="AO133" i="15"/>
  <c r="Z163" i="15" s="1"/>
  <c r="Z152" i="15"/>
  <c r="AI152" i="15" s="1"/>
  <c r="Z154" i="15"/>
  <c r="AJ154" i="15" s="1"/>
  <c r="Z162" i="15"/>
  <c r="Z165" i="15"/>
  <c r="Z156" i="15"/>
  <c r="AC156" i="15" s="1"/>
  <c r="Z159" i="15"/>
  <c r="AH159" i="15" s="1"/>
  <c r="Z157" i="15"/>
  <c r="AA157" i="15" s="1"/>
  <c r="CA97" i="15"/>
  <c r="BZ149" i="15"/>
  <c r="AW97" i="15"/>
  <c r="AV149" i="15"/>
  <c r="AG152" i="15" l="1"/>
  <c r="Z158" i="15"/>
  <c r="Z164" i="15"/>
  <c r="Z167" i="15"/>
  <c r="AB152" i="15"/>
  <c r="Z166" i="15"/>
  <c r="AF152" i="15"/>
  <c r="Z150" i="15"/>
  <c r="Z151" i="15"/>
  <c r="AJ152" i="15"/>
  <c r="AD152" i="15"/>
  <c r="Z161" i="15"/>
  <c r="AE152" i="15"/>
  <c r="CK164" i="15"/>
  <c r="CK158" i="15"/>
  <c r="CS158" i="15" s="1"/>
  <c r="CK162" i="15"/>
  <c r="CK150" i="15"/>
  <c r="CU150" i="15" s="1"/>
  <c r="CK167" i="15"/>
  <c r="CK160" i="15"/>
  <c r="CR160" i="15" s="1"/>
  <c r="CK161" i="15"/>
  <c r="CM161" i="15" s="1"/>
  <c r="CK151" i="15"/>
  <c r="CR151" i="15" s="1"/>
  <c r="CK157" i="15"/>
  <c r="CQ157" i="15" s="1"/>
  <c r="CK152" i="15"/>
  <c r="CM152" i="15" s="1"/>
  <c r="CK168" i="15"/>
  <c r="CK156" i="15"/>
  <c r="CR156" i="15" s="1"/>
  <c r="CK155" i="15"/>
  <c r="CL155" i="15" s="1"/>
  <c r="CK154" i="15"/>
  <c r="CR154" i="15" s="1"/>
  <c r="CK165" i="15"/>
  <c r="CK166" i="15"/>
  <c r="CK153" i="15"/>
  <c r="CN153" i="15" s="1"/>
  <c r="CK159" i="15"/>
  <c r="CM159" i="15" s="1"/>
  <c r="AG159" i="15"/>
  <c r="AI159" i="15"/>
  <c r="AB157" i="15"/>
  <c r="AI150" i="15"/>
  <c r="AD156" i="15"/>
  <c r="AF150" i="15"/>
  <c r="AG157" i="15"/>
  <c r="AH150" i="15"/>
  <c r="AC154" i="15"/>
  <c r="AI156" i="15"/>
  <c r="AH152" i="15"/>
  <c r="AC159" i="15"/>
  <c r="AF159" i="15"/>
  <c r="AJ159" i="15"/>
  <c r="AH154" i="15"/>
  <c r="AA156" i="15"/>
  <c r="AK156" i="15" s="1"/>
  <c r="Z153" i="15"/>
  <c r="AF151" i="15"/>
  <c r="AB151" i="15"/>
  <c r="Z168" i="15"/>
  <c r="AC150" i="15"/>
  <c r="AE150" i="15"/>
  <c r="AA159" i="15"/>
  <c r="AD151" i="15"/>
  <c r="AE156" i="15"/>
  <c r="Z160" i="15"/>
  <c r="AJ156" i="15"/>
  <c r="AG156" i="15"/>
  <c r="AC151" i="15"/>
  <c r="AC152" i="15"/>
  <c r="AJ151" i="15"/>
  <c r="AH156" i="15"/>
  <c r="Z155" i="15"/>
  <c r="AC157" i="15"/>
  <c r="AG154" i="15"/>
  <c r="AA152" i="15"/>
  <c r="AK152" i="15" s="1"/>
  <c r="AA151" i="15"/>
  <c r="AK151" i="15" s="1"/>
  <c r="AC158" i="15"/>
  <c r="AB158" i="15"/>
  <c r="AB159" i="15"/>
  <c r="AH157" i="15"/>
  <c r="AF156" i="15"/>
  <c r="AD159" i="15"/>
  <c r="AB156" i="15"/>
  <c r="AE159" i="15"/>
  <c r="AD157" i="15"/>
  <c r="AE157" i="15"/>
  <c r="AA158" i="15"/>
  <c r="AF157" i="15"/>
  <c r="AJ157" i="15"/>
  <c r="AB154" i="15"/>
  <c r="AH158" i="15"/>
  <c r="AD154" i="15"/>
  <c r="AI157" i="15"/>
  <c r="AF154" i="15"/>
  <c r="AI154" i="15"/>
  <c r="AG158" i="15"/>
  <c r="AE154" i="15"/>
  <c r="AF158" i="15"/>
  <c r="AA154" i="15"/>
  <c r="AK154" i="15" s="1"/>
  <c r="CB97" i="15"/>
  <c r="CA149" i="15"/>
  <c r="AX97" i="15"/>
  <c r="AW149" i="15"/>
  <c r="CU157" i="15" l="1"/>
  <c r="CU158" i="15"/>
  <c r="AE151" i="15"/>
  <c r="AG151" i="15"/>
  <c r="AI151" i="15"/>
  <c r="AH151" i="15"/>
  <c r="AJ150" i="15"/>
  <c r="AG150" i="15"/>
  <c r="AB150" i="15"/>
  <c r="AD150" i="15"/>
  <c r="AA150" i="15"/>
  <c r="AK150" i="15" s="1"/>
  <c r="AJ158" i="15"/>
  <c r="AI158" i="15"/>
  <c r="AE158" i="15"/>
  <c r="AD158" i="15"/>
  <c r="CU152" i="15"/>
  <c r="CU161" i="15"/>
  <c r="CR161" i="15"/>
  <c r="CR150" i="15"/>
  <c r="CS150" i="15"/>
  <c r="CO150" i="15"/>
  <c r="CM150" i="15"/>
  <c r="CM160" i="15"/>
  <c r="CS151" i="15"/>
  <c r="CN151" i="15"/>
  <c r="CT151" i="15"/>
  <c r="CO160" i="15"/>
  <c r="CT160" i="15"/>
  <c r="CP160" i="15"/>
  <c r="CU160" i="15"/>
  <c r="CP150" i="15"/>
  <c r="CS160" i="15"/>
  <c r="CL150" i="15"/>
  <c r="CO152" i="15"/>
  <c r="CL151" i="15"/>
  <c r="CQ150" i="15"/>
  <c r="CL152" i="15"/>
  <c r="CQ151" i="15"/>
  <c r="CN150" i="15"/>
  <c r="CP152" i="15"/>
  <c r="CM151" i="15"/>
  <c r="CT150" i="15"/>
  <c r="CN152" i="15"/>
  <c r="CS154" i="15"/>
  <c r="CM154" i="15"/>
  <c r="CS161" i="15"/>
  <c r="CP158" i="15"/>
  <c r="CP161" i="15"/>
  <c r="CT158" i="15"/>
  <c r="CL157" i="15"/>
  <c r="CP157" i="15"/>
  <c r="CQ161" i="15"/>
  <c r="CP151" i="15"/>
  <c r="CN161" i="15"/>
  <c r="CR158" i="15"/>
  <c r="CU154" i="15"/>
  <c r="CO151" i="15"/>
  <c r="CT161" i="15"/>
  <c r="CL158" i="15"/>
  <c r="CN158" i="15"/>
  <c r="CU151" i="15"/>
  <c r="CO161" i="15"/>
  <c r="CN160" i="15"/>
  <c r="CM158" i="15"/>
  <c r="CO157" i="15"/>
  <c r="CP153" i="15"/>
  <c r="CO159" i="15"/>
  <c r="CR159" i="15"/>
  <c r="CQ159" i="15"/>
  <c r="CT152" i="15"/>
  <c r="CS152" i="15"/>
  <c r="CO158" i="15"/>
  <c r="CN157" i="15"/>
  <c r="CT159" i="15"/>
  <c r="CN159" i="15"/>
  <c r="CR152" i="15"/>
  <c r="CQ158" i="15"/>
  <c r="CQ152" i="15"/>
  <c r="CL159" i="15"/>
  <c r="CP159" i="15"/>
  <c r="CS159" i="15"/>
  <c r="CR155" i="15"/>
  <c r="CT155" i="15"/>
  <c r="CN155" i="15"/>
  <c r="CS156" i="15"/>
  <c r="CO153" i="15"/>
  <c r="CT156" i="15"/>
  <c r="CT153" i="15"/>
  <c r="CU155" i="15"/>
  <c r="CL156" i="15"/>
  <c r="CL153" i="15"/>
  <c r="CM155" i="15"/>
  <c r="CU156" i="15"/>
  <c r="CR153" i="15"/>
  <c r="CQ154" i="15"/>
  <c r="CU153" i="15"/>
  <c r="CU159" i="15"/>
  <c r="CP155" i="15"/>
  <c r="CN156" i="15"/>
  <c r="CQ153" i="15"/>
  <c r="CN154" i="15"/>
  <c r="CS155" i="15"/>
  <c r="CO155" i="15"/>
  <c r="CO156" i="15"/>
  <c r="CQ155" i="15"/>
  <c r="CM156" i="15"/>
  <c r="CS153" i="15"/>
  <c r="CS157" i="15"/>
  <c r="CP154" i="15"/>
  <c r="CM153" i="15"/>
  <c r="CM157" i="15"/>
  <c r="CO154" i="15"/>
  <c r="CP156" i="15"/>
  <c r="CQ156" i="15"/>
  <c r="CL161" i="15"/>
  <c r="CL160" i="15"/>
  <c r="CR157" i="15"/>
  <c r="CL154" i="15"/>
  <c r="CQ160" i="15"/>
  <c r="CT157" i="15"/>
  <c r="CT154" i="15"/>
  <c r="AE153" i="15"/>
  <c r="AA153" i="15"/>
  <c r="AK153" i="15" s="1"/>
  <c r="AI153" i="15"/>
  <c r="AH153" i="15"/>
  <c r="AF153" i="15"/>
  <c r="AD153" i="15"/>
  <c r="AG153" i="15"/>
  <c r="AJ153" i="15"/>
  <c r="AC153" i="15"/>
  <c r="AB153" i="15"/>
  <c r="AF160" i="15"/>
  <c r="AC160" i="15"/>
  <c r="AE160" i="15"/>
  <c r="AD160" i="15"/>
  <c r="AA160" i="15"/>
  <c r="AK160" i="15" s="1"/>
  <c r="AI160" i="15"/>
  <c r="AH160" i="15"/>
  <c r="AJ160" i="15"/>
  <c r="AG160" i="15"/>
  <c r="AB160" i="15"/>
  <c r="AB155" i="15"/>
  <c r="AI155" i="15"/>
  <c r="AJ155" i="15"/>
  <c r="AC155" i="15"/>
  <c r="AH155" i="15"/>
  <c r="AD155" i="15"/>
  <c r="AG155" i="15"/>
  <c r="AA155" i="15"/>
  <c r="AF155" i="15"/>
  <c r="AE155" i="15"/>
  <c r="CC97" i="15"/>
  <c r="CB149" i="15"/>
  <c r="AY97" i="15"/>
  <c r="AX149" i="15"/>
  <c r="CD97" i="15" l="1"/>
  <c r="CC149" i="15"/>
  <c r="AZ97" i="15"/>
  <c r="AZ149" i="15" s="1"/>
  <c r="AY149" i="15"/>
  <c r="CE97" i="15" l="1"/>
  <c r="CD149" i="15"/>
  <c r="CE149" i="15" l="1"/>
  <c r="CF97" i="15"/>
  <c r="CF149" i="15" s="1"/>
  <c r="BZ52" i="14"/>
  <c r="BZ51" i="14"/>
  <c r="BZ50" i="14"/>
  <c r="BZ49" i="14"/>
  <c r="BZ48" i="14"/>
  <c r="BN52" i="14"/>
  <c r="BM52" i="14"/>
  <c r="BN51" i="14"/>
  <c r="BM51" i="14"/>
  <c r="BN50" i="14"/>
  <c r="BM50" i="14"/>
  <c r="BN49" i="14"/>
  <c r="BM49" i="14"/>
  <c r="BN48" i="14"/>
  <c r="BM48" i="14"/>
  <c r="AZ52" i="14"/>
  <c r="AZ51" i="14"/>
  <c r="AZ50" i="14"/>
  <c r="AZ49" i="14"/>
  <c r="AZ48" i="14"/>
  <c r="AN52" i="14"/>
  <c r="AN51" i="14"/>
  <c r="AN50" i="14"/>
  <c r="AN49" i="14"/>
  <c r="AN48" i="14"/>
  <c r="CA52" i="14"/>
  <c r="L37" i="14"/>
  <c r="BY49" i="14" s="1"/>
  <c r="K37" i="14"/>
  <c r="BX50" i="14" s="1"/>
  <c r="J37" i="14"/>
  <c r="BW49" i="14" s="1"/>
  <c r="I37" i="14"/>
  <c r="BV49" i="14" s="1"/>
  <c r="H37" i="14"/>
  <c r="BU49" i="14" s="1"/>
  <c r="G37" i="14"/>
  <c r="BT49" i="14" s="1"/>
  <c r="F37" i="14"/>
  <c r="BS48" i="14" s="1"/>
  <c r="E37" i="14"/>
  <c r="BR50" i="14" s="1"/>
  <c r="D37" i="14"/>
  <c r="BQ50" i="14" s="1"/>
  <c r="C37" i="14"/>
  <c r="L31" i="14"/>
  <c r="BL49" i="14" s="1"/>
  <c r="K31" i="14"/>
  <c r="BK49" i="14" s="1"/>
  <c r="J31" i="14"/>
  <c r="BJ49" i="14" s="1"/>
  <c r="I31" i="14"/>
  <c r="H31" i="14"/>
  <c r="BH52" i="14" s="1"/>
  <c r="G31" i="14"/>
  <c r="BG51" i="14" s="1"/>
  <c r="F31" i="14"/>
  <c r="BF49" i="14" s="1"/>
  <c r="E31" i="14"/>
  <c r="BE51" i="14" s="1"/>
  <c r="D31" i="14"/>
  <c r="BD49" i="14" s="1"/>
  <c r="C31" i="14"/>
  <c r="BA52" i="14"/>
  <c r="L25" i="14"/>
  <c r="AY48" i="14" s="1"/>
  <c r="K25" i="14"/>
  <c r="AX52" i="14" s="1"/>
  <c r="J25" i="14"/>
  <c r="AW50" i="14" s="1"/>
  <c r="I25" i="14"/>
  <c r="H25" i="14"/>
  <c r="AU52" i="14" s="1"/>
  <c r="G25" i="14"/>
  <c r="AT52" i="14" s="1"/>
  <c r="F25" i="14"/>
  <c r="AS52" i="14" s="1"/>
  <c r="E25" i="14"/>
  <c r="AR52" i="14" s="1"/>
  <c r="D25" i="14"/>
  <c r="AQ52" i="14" s="1"/>
  <c r="C25" i="14"/>
  <c r="AM52" i="14"/>
  <c r="L19" i="14"/>
  <c r="AL48" i="14" s="1"/>
  <c r="K19" i="14"/>
  <c r="AK50" i="14" s="1"/>
  <c r="J19" i="14"/>
  <c r="AJ52" i="14" s="1"/>
  <c r="I19" i="14"/>
  <c r="AI52" i="14" s="1"/>
  <c r="H19" i="14"/>
  <c r="AH52" i="14" s="1"/>
  <c r="G19" i="14"/>
  <c r="AG52" i="14" s="1"/>
  <c r="F19" i="14"/>
  <c r="AF51" i="14" s="1"/>
  <c r="E19" i="14"/>
  <c r="AE52" i="14" s="1"/>
  <c r="D19" i="14"/>
  <c r="AD49" i="14" s="1"/>
  <c r="C19" i="14"/>
  <c r="C13" i="14"/>
  <c r="L13" i="14"/>
  <c r="K13" i="14"/>
  <c r="J13" i="14"/>
  <c r="I13" i="14"/>
  <c r="H13" i="14"/>
  <c r="U52" i="14" s="1"/>
  <c r="G13" i="14"/>
  <c r="T51" i="14" s="1"/>
  <c r="F13" i="14"/>
  <c r="S52" i="14" s="1"/>
  <c r="E13" i="14"/>
  <c r="R51" i="14" s="1"/>
  <c r="D13" i="14"/>
  <c r="Q50" i="14" s="1"/>
  <c r="D7" i="14"/>
  <c r="E7" i="14" s="1"/>
  <c r="F57" i="13"/>
  <c r="E57" i="13"/>
  <c r="D57" i="13"/>
  <c r="C57" i="13"/>
  <c r="F41" i="13"/>
  <c r="E41" i="13"/>
  <c r="D41" i="13"/>
  <c r="C41" i="13"/>
  <c r="F34" i="13"/>
  <c r="E34" i="13"/>
  <c r="D34" i="13"/>
  <c r="C34" i="13"/>
  <c r="F27" i="13"/>
  <c r="E27" i="13"/>
  <c r="D27" i="13"/>
  <c r="C27" i="13"/>
  <c r="C20" i="13"/>
  <c r="F20" i="13"/>
  <c r="E20" i="13"/>
  <c r="D20" i="13"/>
  <c r="F13" i="13"/>
  <c r="E13" i="13"/>
  <c r="D13" i="13"/>
  <c r="C13" i="13"/>
  <c r="D6" i="13"/>
  <c r="E6" i="13" s="1"/>
  <c r="F6" i="13" s="1"/>
  <c r="G6" i="13" s="1"/>
  <c r="R52" i="14" l="1"/>
  <c r="AW52" i="14"/>
  <c r="BU48" i="14"/>
  <c r="AL49" i="14"/>
  <c r="BK51" i="14"/>
  <c r="BY50" i="14"/>
  <c r="R48" i="14"/>
  <c r="AD52" i="14"/>
  <c r="T50" i="14"/>
  <c r="T48" i="14"/>
  <c r="T52" i="14"/>
  <c r="AF52" i="14"/>
  <c r="AS50" i="14"/>
  <c r="AY52" i="14"/>
  <c r="R49" i="14"/>
  <c r="AD48" i="14"/>
  <c r="AH50" i="14"/>
  <c r="AL52" i="14"/>
  <c r="BQ49" i="14"/>
  <c r="BU51" i="14"/>
  <c r="BH49" i="14"/>
  <c r="T49" i="14"/>
  <c r="AF48" i="14"/>
  <c r="AJ50" i="14"/>
  <c r="AQ51" i="14"/>
  <c r="BH48" i="14"/>
  <c r="BD50" i="14"/>
  <c r="BS49" i="14"/>
  <c r="BW51" i="14"/>
  <c r="R50" i="14"/>
  <c r="AQ48" i="14"/>
  <c r="AS51" i="14"/>
  <c r="BK48" i="14"/>
  <c r="BF50" i="14"/>
  <c r="BK52" i="14"/>
  <c r="AW48" i="14"/>
  <c r="AY51" i="14"/>
  <c r="BS52" i="14"/>
  <c r="AH51" i="14"/>
  <c r="BU52" i="14"/>
  <c r="AJ49" i="14"/>
  <c r="BD51" i="14"/>
  <c r="BW50" i="14"/>
  <c r="F7" i="14"/>
  <c r="R47" i="14"/>
  <c r="AE47" i="14" s="1"/>
  <c r="AR47" i="14" s="1"/>
  <c r="BE47" i="14" s="1"/>
  <c r="BR47" i="14" s="1"/>
  <c r="G46" i="14"/>
  <c r="G42" i="14"/>
  <c r="G45" i="14"/>
  <c r="G44" i="14"/>
  <c r="G43" i="14"/>
  <c r="D47" i="14"/>
  <c r="D49" i="14"/>
  <c r="D51" i="14"/>
  <c r="D48" i="14"/>
  <c r="D50" i="14"/>
  <c r="L47" i="14"/>
  <c r="L50" i="14"/>
  <c r="L49" i="14"/>
  <c r="L51" i="14"/>
  <c r="L48" i="14"/>
  <c r="I56" i="14"/>
  <c r="I53" i="14"/>
  <c r="I54" i="14"/>
  <c r="I55" i="14"/>
  <c r="I52" i="14"/>
  <c r="F57" i="14"/>
  <c r="F60" i="14"/>
  <c r="F59" i="14"/>
  <c r="F61" i="14"/>
  <c r="F58" i="14"/>
  <c r="D63" i="14"/>
  <c r="D65" i="14"/>
  <c r="D62" i="14"/>
  <c r="D64" i="14"/>
  <c r="D66" i="14"/>
  <c r="L63" i="14"/>
  <c r="L66" i="14"/>
  <c r="L65" i="14"/>
  <c r="L62" i="14"/>
  <c r="L64" i="14"/>
  <c r="S48" i="14"/>
  <c r="S49" i="14"/>
  <c r="S50" i="14"/>
  <c r="S51" i="14"/>
  <c r="AE48" i="14"/>
  <c r="AK49" i="14"/>
  <c r="AI50" i="14"/>
  <c r="AG51" i="14"/>
  <c r="AX48" i="14"/>
  <c r="AV49" i="14"/>
  <c r="AT50" i="14"/>
  <c r="AR51" i="14"/>
  <c r="BJ48" i="14"/>
  <c r="BG49" i="14"/>
  <c r="BE50" i="14"/>
  <c r="BL51" i="14"/>
  <c r="BJ52" i="14"/>
  <c r="BT48" i="14"/>
  <c r="BR49" i="14"/>
  <c r="BV51" i="14"/>
  <c r="BT52" i="14"/>
  <c r="K66" i="14"/>
  <c r="K63" i="14"/>
  <c r="K64" i="14"/>
  <c r="K65" i="14"/>
  <c r="K62" i="14"/>
  <c r="E49" i="14"/>
  <c r="E50" i="14"/>
  <c r="E47" i="14"/>
  <c r="E51" i="14"/>
  <c r="E48" i="14"/>
  <c r="I45" i="14"/>
  <c r="I42" i="14"/>
  <c r="I46" i="14"/>
  <c r="I44" i="14"/>
  <c r="I43" i="14"/>
  <c r="F49" i="14"/>
  <c r="F51" i="14"/>
  <c r="F47" i="14"/>
  <c r="F48" i="14"/>
  <c r="F50" i="14"/>
  <c r="K55" i="14"/>
  <c r="K56" i="14"/>
  <c r="K52" i="14"/>
  <c r="K54" i="14"/>
  <c r="K53" i="14"/>
  <c r="H59" i="14"/>
  <c r="H61" i="14"/>
  <c r="H58" i="14"/>
  <c r="H57" i="14"/>
  <c r="H60" i="14"/>
  <c r="F65" i="14"/>
  <c r="F62" i="14"/>
  <c r="F63" i="14"/>
  <c r="F64" i="14"/>
  <c r="F66" i="14"/>
  <c r="Q47" i="14"/>
  <c r="AD47" i="14" s="1"/>
  <c r="AQ47" i="14" s="1"/>
  <c r="BD47" i="14" s="1"/>
  <c r="BQ47" i="14" s="1"/>
  <c r="Q48" i="14"/>
  <c r="U48" i="14"/>
  <c r="U49" i="14"/>
  <c r="U50" i="14"/>
  <c r="U51" i="14"/>
  <c r="AG48" i="14"/>
  <c r="AE49" i="14"/>
  <c r="AI51" i="14"/>
  <c r="AR48" i="14"/>
  <c r="AX49" i="14"/>
  <c r="AV50" i="14"/>
  <c r="AT51" i="14"/>
  <c r="BL48" i="14"/>
  <c r="BG50" i="14"/>
  <c r="BL52" i="14"/>
  <c r="BV48" i="14"/>
  <c r="BX51" i="14"/>
  <c r="BV52" i="14"/>
  <c r="K50" i="14"/>
  <c r="K47" i="14"/>
  <c r="K49" i="14"/>
  <c r="K48" i="14"/>
  <c r="K51" i="14"/>
  <c r="AW49" i="14"/>
  <c r="J44" i="14"/>
  <c r="J43" i="14"/>
  <c r="J46" i="14"/>
  <c r="J42" i="14"/>
  <c r="J45" i="14"/>
  <c r="G51" i="14"/>
  <c r="G48" i="14"/>
  <c r="G50" i="14"/>
  <c r="G49" i="14"/>
  <c r="G47" i="14"/>
  <c r="D55" i="14"/>
  <c r="D52" i="14"/>
  <c r="D54" i="14"/>
  <c r="D53" i="14"/>
  <c r="D56" i="14"/>
  <c r="L55" i="14"/>
  <c r="L52" i="14"/>
  <c r="L54" i="14"/>
  <c r="L53" i="14"/>
  <c r="L56" i="14"/>
  <c r="BI50" i="14"/>
  <c r="I61" i="14"/>
  <c r="I58" i="14"/>
  <c r="I60" i="14"/>
  <c r="I59" i="14"/>
  <c r="I57" i="14"/>
  <c r="G62" i="14"/>
  <c r="G64" i="14"/>
  <c r="G65" i="14"/>
  <c r="G66" i="14"/>
  <c r="G63" i="14"/>
  <c r="Q49" i="14"/>
  <c r="V48" i="14"/>
  <c r="V49" i="14"/>
  <c r="V50" i="14"/>
  <c r="V51" i="14"/>
  <c r="V52" i="14"/>
  <c r="AH48" i="14"/>
  <c r="AF49" i="14"/>
  <c r="AD50" i="14"/>
  <c r="AL50" i="14"/>
  <c r="AJ51" i="14"/>
  <c r="AS48" i="14"/>
  <c r="AQ49" i="14"/>
  <c r="AY49" i="14"/>
  <c r="AU51" i="14"/>
  <c r="BD48" i="14"/>
  <c r="BH50" i="14"/>
  <c r="BF51" i="14"/>
  <c r="BD52" i="14"/>
  <c r="BW48" i="14"/>
  <c r="BS50" i="14"/>
  <c r="BQ51" i="14"/>
  <c r="BY51" i="14"/>
  <c r="BW52" i="14"/>
  <c r="F46" i="14"/>
  <c r="F42" i="14"/>
  <c r="F45" i="14"/>
  <c r="F43" i="14"/>
  <c r="F44" i="14"/>
  <c r="E60" i="14"/>
  <c r="E57" i="14"/>
  <c r="E58" i="14"/>
  <c r="E59" i="14"/>
  <c r="E61" i="14"/>
  <c r="AU49" i="14"/>
  <c r="E65" i="14"/>
  <c r="E62" i="14"/>
  <c r="E64" i="14"/>
  <c r="E66" i="14"/>
  <c r="E63" i="14"/>
  <c r="K44" i="14"/>
  <c r="K43" i="14"/>
  <c r="K46" i="14"/>
  <c r="K42" i="14"/>
  <c r="K45" i="14"/>
  <c r="H51" i="14"/>
  <c r="H48" i="14"/>
  <c r="H50" i="14"/>
  <c r="H47" i="14"/>
  <c r="H49" i="14"/>
  <c r="E52" i="14"/>
  <c r="E54" i="14"/>
  <c r="E56" i="14"/>
  <c r="E55" i="14"/>
  <c r="E53" i="14"/>
  <c r="J61" i="14"/>
  <c r="J58" i="14"/>
  <c r="J60" i="14"/>
  <c r="J57" i="14"/>
  <c r="J59" i="14"/>
  <c r="H62" i="14"/>
  <c r="H64" i="14"/>
  <c r="H66" i="14"/>
  <c r="H65" i="14"/>
  <c r="H63" i="14"/>
  <c r="W48" i="14"/>
  <c r="W49" i="14"/>
  <c r="W50" i="14"/>
  <c r="W51" i="14"/>
  <c r="W52" i="14"/>
  <c r="AI48" i="14"/>
  <c r="AG49" i="14"/>
  <c r="AE50" i="14"/>
  <c r="AK51" i="14"/>
  <c r="AT48" i="14"/>
  <c r="AR49" i="14"/>
  <c r="AX50" i="14"/>
  <c r="AV51" i="14"/>
  <c r="BE48" i="14"/>
  <c r="BJ50" i="14"/>
  <c r="BE52" i="14"/>
  <c r="BX48" i="14"/>
  <c r="BT50" i="14"/>
  <c r="BR51" i="14"/>
  <c r="BX52" i="14"/>
  <c r="C51" i="14"/>
  <c r="C50" i="14"/>
  <c r="C49" i="14"/>
  <c r="C48" i="14"/>
  <c r="C47" i="14"/>
  <c r="J53" i="14"/>
  <c r="J56" i="14"/>
  <c r="J55" i="14"/>
  <c r="J52" i="14"/>
  <c r="J54" i="14"/>
  <c r="D43" i="14"/>
  <c r="D46" i="14"/>
  <c r="D45" i="14"/>
  <c r="D44" i="14"/>
  <c r="D42" i="14"/>
  <c r="L44" i="14"/>
  <c r="L43" i="14"/>
  <c r="L46" i="14"/>
  <c r="L42" i="14"/>
  <c r="L45" i="14"/>
  <c r="I48" i="14"/>
  <c r="I50" i="14"/>
  <c r="I47" i="14"/>
  <c r="I51" i="14"/>
  <c r="I49" i="14"/>
  <c r="F55" i="14"/>
  <c r="F54" i="14"/>
  <c r="F52" i="14"/>
  <c r="F56" i="14"/>
  <c r="F53" i="14"/>
  <c r="K58" i="14"/>
  <c r="K60" i="14"/>
  <c r="K57" i="14"/>
  <c r="K59" i="14"/>
  <c r="K61" i="14"/>
  <c r="I64" i="14"/>
  <c r="I62" i="14"/>
  <c r="I66" i="14"/>
  <c r="I63" i="14"/>
  <c r="I65" i="14"/>
  <c r="Q51" i="14"/>
  <c r="X48" i="14"/>
  <c r="X49" i="14"/>
  <c r="X50" i="14"/>
  <c r="X51" i="14"/>
  <c r="X52" i="14"/>
  <c r="AJ48" i="14"/>
  <c r="AH49" i="14"/>
  <c r="AF50" i="14"/>
  <c r="AD51" i="14"/>
  <c r="AL51" i="14"/>
  <c r="AU48" i="14"/>
  <c r="AS49" i="14"/>
  <c r="AQ50" i="14"/>
  <c r="AY50" i="14"/>
  <c r="AW51" i="14"/>
  <c r="BF48" i="14"/>
  <c r="BK50" i="14"/>
  <c r="BH51" i="14"/>
  <c r="BF52" i="14"/>
  <c r="BQ48" i="14"/>
  <c r="BY48" i="14"/>
  <c r="BU50" i="14"/>
  <c r="BS51" i="14"/>
  <c r="BQ52" i="14"/>
  <c r="BY52" i="14"/>
  <c r="H56" i="14"/>
  <c r="H54" i="14"/>
  <c r="H53" i="14"/>
  <c r="H55" i="14"/>
  <c r="H52" i="14"/>
  <c r="H45" i="14"/>
  <c r="H46" i="14"/>
  <c r="H44" i="14"/>
  <c r="H42" i="14"/>
  <c r="H43" i="14"/>
  <c r="G57" i="14"/>
  <c r="G59" i="14"/>
  <c r="G61" i="14"/>
  <c r="G58" i="14"/>
  <c r="G60" i="14"/>
  <c r="AU50" i="14"/>
  <c r="E43" i="14"/>
  <c r="E44" i="14"/>
  <c r="E46" i="14"/>
  <c r="E42" i="14"/>
  <c r="E45" i="14"/>
  <c r="J51" i="14"/>
  <c r="J48" i="14"/>
  <c r="J50" i="14"/>
  <c r="J47" i="14"/>
  <c r="J49" i="14"/>
  <c r="G54" i="14"/>
  <c r="G56" i="14"/>
  <c r="G52" i="14"/>
  <c r="G53" i="14"/>
  <c r="G55" i="14"/>
  <c r="D60" i="14"/>
  <c r="D61" i="14"/>
  <c r="D57" i="14"/>
  <c r="D59" i="14"/>
  <c r="D58" i="14"/>
  <c r="L60" i="14"/>
  <c r="L57" i="14"/>
  <c r="L58" i="14"/>
  <c r="L61" i="14"/>
  <c r="L59" i="14"/>
  <c r="J66" i="14"/>
  <c r="J63" i="14"/>
  <c r="J64" i="14"/>
  <c r="J65" i="14"/>
  <c r="J62" i="14"/>
  <c r="Q52" i="14"/>
  <c r="Y48" i="14"/>
  <c r="Y49" i="14"/>
  <c r="Y50" i="14"/>
  <c r="Y51" i="14"/>
  <c r="Y52" i="14"/>
  <c r="AK48" i="14"/>
  <c r="AI49" i="14"/>
  <c r="AG50" i="14"/>
  <c r="AE51" i="14"/>
  <c r="AK52" i="14"/>
  <c r="AV48" i="14"/>
  <c r="AT49" i="14"/>
  <c r="AR50" i="14"/>
  <c r="AX51" i="14"/>
  <c r="AV52" i="14"/>
  <c r="BG48" i="14"/>
  <c r="BE49" i="14"/>
  <c r="BL50" i="14"/>
  <c r="BJ51" i="14"/>
  <c r="BG52" i="14"/>
  <c r="BR48" i="14"/>
  <c r="BX49" i="14"/>
  <c r="BV50" i="14"/>
  <c r="BT51" i="14"/>
  <c r="BR52" i="14"/>
  <c r="CA48" i="14"/>
  <c r="CA50" i="14"/>
  <c r="CA51" i="14"/>
  <c r="CA49" i="14"/>
  <c r="BA50" i="14"/>
  <c r="BA48" i="14"/>
  <c r="BA51" i="14"/>
  <c r="BA49" i="14"/>
  <c r="AM50" i="14"/>
  <c r="AM48" i="14"/>
  <c r="AM51" i="14"/>
  <c r="AM49" i="14"/>
  <c r="Z50" i="14"/>
  <c r="AA51" i="14"/>
  <c r="BI48" i="14"/>
  <c r="BI51" i="14"/>
  <c r="BI49" i="14"/>
  <c r="BI52" i="14"/>
  <c r="D56" i="13"/>
  <c r="C47" i="13"/>
  <c r="E56" i="13"/>
  <c r="C53" i="13"/>
  <c r="F56" i="13"/>
  <c r="F58" i="13"/>
  <c r="F59" i="13" s="1"/>
  <c r="F50" i="13"/>
  <c r="E50" i="13"/>
  <c r="D50" i="13"/>
  <c r="C58" i="13"/>
  <c r="C59" i="13" s="1"/>
  <c r="D47" i="13"/>
  <c r="D53" i="13"/>
  <c r="D58" i="13"/>
  <c r="D59" i="13" s="1"/>
  <c r="F53" i="13"/>
  <c r="C50" i="13"/>
  <c r="C56" i="13"/>
  <c r="E47" i="13"/>
  <c r="E53" i="13"/>
  <c r="E58" i="13"/>
  <c r="E59" i="13" s="1"/>
  <c r="F47" i="13"/>
  <c r="G7" i="14" l="1"/>
  <c r="S47" i="14"/>
  <c r="AF47" i="14" s="1"/>
  <c r="AS47" i="14" s="1"/>
  <c r="BF47" i="14" s="1"/>
  <c r="BS47" i="14" s="1"/>
  <c r="Z51" i="14"/>
  <c r="AA52" i="14"/>
  <c r="AA49" i="14"/>
  <c r="AA48" i="14"/>
  <c r="Z49" i="14"/>
  <c r="Z52" i="14"/>
  <c r="AA50" i="14"/>
  <c r="Z48" i="14"/>
  <c r="H7" i="14" l="1"/>
  <c r="T47" i="14"/>
  <c r="AG47" i="14" s="1"/>
  <c r="AT47" i="14" s="1"/>
  <c r="BG47" i="14" s="1"/>
  <c r="BT47" i="14" s="1"/>
  <c r="I7" i="14" l="1"/>
  <c r="U47" i="14"/>
  <c r="AH47" i="14" s="1"/>
  <c r="AU47" i="14" s="1"/>
  <c r="BH47" i="14" s="1"/>
  <c r="BU47" i="14" s="1"/>
  <c r="H62" i="13"/>
  <c r="I62" i="13" s="1"/>
  <c r="J62" i="13" s="1"/>
  <c r="K62" i="13" s="1"/>
  <c r="L62" i="13" s="1"/>
  <c r="M62" i="13" s="1"/>
  <c r="N62" i="13" s="1"/>
  <c r="O62" i="13" s="1"/>
  <c r="P62" i="13" s="1"/>
  <c r="Q62" i="13" s="1"/>
  <c r="K57" i="13"/>
  <c r="H57" i="13"/>
  <c r="G57" i="13"/>
  <c r="H44" i="13"/>
  <c r="I44" i="13" s="1"/>
  <c r="J44" i="13" s="1"/>
  <c r="K44" i="13" s="1"/>
  <c r="L44" i="13" s="1"/>
  <c r="M44" i="13" s="1"/>
  <c r="N44" i="13" s="1"/>
  <c r="O44" i="13" s="1"/>
  <c r="P44" i="13" s="1"/>
  <c r="Q44" i="13" s="1"/>
  <c r="M57" i="13"/>
  <c r="N57" i="13"/>
  <c r="J7" i="14" l="1"/>
  <c r="V47" i="14"/>
  <c r="AI47" i="14" s="1"/>
  <c r="AV47" i="14" s="1"/>
  <c r="BI47" i="14" s="1"/>
  <c r="BV47" i="14" s="1"/>
  <c r="R44" i="13"/>
  <c r="AE103" i="13"/>
  <c r="AS103" i="13"/>
  <c r="BG103" i="13" s="1"/>
  <c r="BU103" i="13" s="1"/>
  <c r="CI103" i="13" s="1"/>
  <c r="R62" i="13"/>
  <c r="AS109" i="13"/>
  <c r="BG109" i="13" s="1"/>
  <c r="BU109" i="13" s="1"/>
  <c r="CI109" i="13" s="1"/>
  <c r="AE109" i="13"/>
  <c r="L57" i="13"/>
  <c r="P34" i="13"/>
  <c r="K7" i="14" l="1"/>
  <c r="W47" i="14"/>
  <c r="AJ47" i="14" s="1"/>
  <c r="AW47" i="14" s="1"/>
  <c r="BJ47" i="14" s="1"/>
  <c r="BW47" i="14" s="1"/>
  <c r="S44" i="13"/>
  <c r="AF103" i="13"/>
  <c r="AT103" i="13"/>
  <c r="BH103" i="13" s="1"/>
  <c r="BV103" i="13" s="1"/>
  <c r="CJ103" i="13" s="1"/>
  <c r="S62" i="13"/>
  <c r="AF109" i="13"/>
  <c r="AT109" i="13"/>
  <c r="BH109" i="13" s="1"/>
  <c r="BV109" i="13" s="1"/>
  <c r="CJ109" i="13" s="1"/>
  <c r="P56" i="13"/>
  <c r="P27" i="13"/>
  <c r="P57" i="13"/>
  <c r="O57" i="13"/>
  <c r="P13" i="13"/>
  <c r="P20" i="13"/>
  <c r="L7" i="14" l="1"/>
  <c r="X47" i="14"/>
  <c r="AK47" i="14" s="1"/>
  <c r="AX47" i="14" s="1"/>
  <c r="BK47" i="14" s="1"/>
  <c r="BX47" i="14" s="1"/>
  <c r="T62" i="13"/>
  <c r="AU109" i="13"/>
  <c r="BI109" i="13" s="1"/>
  <c r="BW109" i="13" s="1"/>
  <c r="CK109" i="13" s="1"/>
  <c r="AG109" i="13"/>
  <c r="T44" i="13"/>
  <c r="AU103" i="13"/>
  <c r="BI103" i="13" s="1"/>
  <c r="BW103" i="13" s="1"/>
  <c r="CK103" i="13" s="1"/>
  <c r="AG103" i="13"/>
  <c r="P53" i="13"/>
  <c r="P47" i="13"/>
  <c r="P50" i="13"/>
  <c r="M7" i="14" l="1"/>
  <c r="Y47" i="14"/>
  <c r="AL47" i="14" s="1"/>
  <c r="AY47" i="14" s="1"/>
  <c r="BL47" i="14" s="1"/>
  <c r="BY47" i="14" s="1"/>
  <c r="U44" i="13"/>
  <c r="AV103" i="13"/>
  <c r="BJ103" i="13" s="1"/>
  <c r="BX103" i="13" s="1"/>
  <c r="CL103" i="13" s="1"/>
  <c r="AH103" i="13"/>
  <c r="U62" i="13"/>
  <c r="AH109" i="13"/>
  <c r="AV109" i="13"/>
  <c r="BJ109" i="13" s="1"/>
  <c r="BX109" i="13" s="1"/>
  <c r="CL109" i="13" s="1"/>
  <c r="N7" i="14" l="1"/>
  <c r="AA47" i="14" s="1"/>
  <c r="AN47" i="14" s="1"/>
  <c r="BA47" i="14" s="1"/>
  <c r="BN47" i="14" s="1"/>
  <c r="CA47" i="14" s="1"/>
  <c r="Z47" i="14"/>
  <c r="AM47" i="14" s="1"/>
  <c r="AZ47" i="14" s="1"/>
  <c r="BM47" i="14" s="1"/>
  <c r="BZ47" i="14" s="1"/>
  <c r="V62" i="13"/>
  <c r="AI109" i="13"/>
  <c r="AW109" i="13"/>
  <c r="BK109" i="13" s="1"/>
  <c r="BY109" i="13" s="1"/>
  <c r="CM109" i="13" s="1"/>
  <c r="V44" i="13"/>
  <c r="AI103" i="13"/>
  <c r="AW103" i="13"/>
  <c r="BK103" i="13" s="1"/>
  <c r="BY103" i="13" s="1"/>
  <c r="CM103" i="13" s="1"/>
  <c r="W44" i="13" l="1"/>
  <c r="AJ103" i="13"/>
  <c r="AX103" i="13"/>
  <c r="BL103" i="13" s="1"/>
  <c r="BZ103" i="13" s="1"/>
  <c r="CN103" i="13" s="1"/>
  <c r="W62" i="13"/>
  <c r="AX109" i="13"/>
  <c r="BL109" i="13" s="1"/>
  <c r="BZ109" i="13" s="1"/>
  <c r="CN109" i="13" s="1"/>
  <c r="AJ109" i="13"/>
  <c r="X62" i="13" l="1"/>
  <c r="AY109" i="13"/>
  <c r="BM109" i="13" s="1"/>
  <c r="CA109" i="13" s="1"/>
  <c r="CO109" i="13" s="1"/>
  <c r="AK109" i="13"/>
  <c r="X44" i="13"/>
  <c r="AY103" i="13"/>
  <c r="BM103" i="13" s="1"/>
  <c r="CA103" i="13" s="1"/>
  <c r="CO103" i="13" s="1"/>
  <c r="AK103" i="13"/>
  <c r="Y44" i="13" l="1"/>
  <c r="AZ103" i="13"/>
  <c r="BN103" i="13" s="1"/>
  <c r="CB103" i="13" s="1"/>
  <c r="CP103" i="13" s="1"/>
  <c r="AL103" i="13"/>
  <c r="Y62" i="13"/>
  <c r="AZ109" i="13"/>
  <c r="BN109" i="13" s="1"/>
  <c r="CB109" i="13" s="1"/>
  <c r="CP109" i="13" s="1"/>
  <c r="AL109" i="13"/>
  <c r="Z62" i="13" l="1"/>
  <c r="BA109" i="13"/>
  <c r="BO109" i="13" s="1"/>
  <c r="CC109" i="13" s="1"/>
  <c r="CQ109" i="13" s="1"/>
  <c r="AM109" i="13"/>
  <c r="Z44" i="13"/>
  <c r="BA103" i="13"/>
  <c r="BO103" i="13" s="1"/>
  <c r="CC103" i="13" s="1"/>
  <c r="CQ103" i="13" s="1"/>
  <c r="AM103" i="13"/>
  <c r="AA44" i="13" l="1"/>
  <c r="BB103" i="13"/>
  <c r="BP103" i="13" s="1"/>
  <c r="CD103" i="13" s="1"/>
  <c r="CR103" i="13" s="1"/>
  <c r="AN103" i="13"/>
  <c r="AA62" i="13"/>
  <c r="AN109" i="13"/>
  <c r="BB109" i="13"/>
  <c r="BP109" i="13" s="1"/>
  <c r="CD109" i="13" s="1"/>
  <c r="CR109" i="13" s="1"/>
  <c r="AB62" i="13" l="1"/>
  <c r="AC62" i="13" s="1"/>
  <c r="BC109" i="13"/>
  <c r="BQ109" i="13" s="1"/>
  <c r="CE109" i="13" s="1"/>
  <c r="CS109" i="13" s="1"/>
  <c r="AO109" i="13"/>
  <c r="AB44" i="13"/>
  <c r="AC44" i="13" s="1"/>
  <c r="BC103" i="13"/>
  <c r="BQ103" i="13" s="1"/>
  <c r="CE103" i="13" s="1"/>
  <c r="CS103" i="13" s="1"/>
  <c r="AO103" i="13"/>
  <c r="BD103" i="13" l="1"/>
  <c r="BR103" i="13" s="1"/>
  <c r="CF103" i="13" s="1"/>
  <c r="CT103" i="13" s="1"/>
  <c r="AP103" i="13"/>
  <c r="AP109" i="13"/>
  <c r="BD109" i="13"/>
  <c r="BR109" i="13" s="1"/>
  <c r="CF109" i="13" s="1"/>
  <c r="CT109" i="13" s="1"/>
  <c r="V57" i="13" l="1"/>
  <c r="W57" i="13"/>
  <c r="Q57" i="13"/>
  <c r="R57" i="13"/>
  <c r="Z57" i="13"/>
  <c r="Y57" i="13"/>
  <c r="S57" i="13"/>
  <c r="T57" i="13"/>
  <c r="X57" i="13"/>
  <c r="U57" i="13"/>
  <c r="BY104" i="13" l="1"/>
  <c r="CJ104" i="13"/>
  <c r="CM104" i="13"/>
  <c r="CC104" i="13"/>
  <c r="BW104" i="13"/>
  <c r="BI104" i="13"/>
  <c r="BB104" i="13"/>
  <c r="BU104" i="13"/>
  <c r="BO104" i="13"/>
  <c r="BV104" i="13"/>
  <c r="BN104" i="13"/>
  <c r="CB104" i="13"/>
  <c r="BM104" i="13"/>
  <c r="BL104" i="13"/>
  <c r="AW104" i="13"/>
  <c r="BG104" i="13"/>
  <c r="AT104" i="13"/>
  <c r="BA104" i="13"/>
  <c r="AZ104" i="13"/>
  <c r="CN104" i="13"/>
  <c r="AU104" i="13"/>
  <c r="AY104" i="13"/>
  <c r="CQ104" i="13"/>
  <c r="CI104" i="13"/>
  <c r="BX104" i="13"/>
  <c r="CP104" i="13"/>
  <c r="BJ104" i="13"/>
  <c r="BZ104" i="13"/>
  <c r="CA104" i="13"/>
  <c r="BP104" i="13"/>
  <c r="CL104" i="13"/>
  <c r="AX104" i="13"/>
  <c r="AV104" i="13"/>
  <c r="BK104" i="13"/>
  <c r="BH104" i="13"/>
  <c r="CD104" i="13"/>
  <c r="CK104" i="13"/>
  <c r="CR104" i="13"/>
  <c r="CO104" i="13"/>
  <c r="AS104" i="13"/>
  <c r="AH104" i="13" l="1"/>
  <c r="AI104" i="13"/>
  <c r="AE104" i="13"/>
  <c r="AF104" i="13"/>
  <c r="AJ104" i="13"/>
  <c r="AG104" i="13"/>
  <c r="AK104" i="13"/>
  <c r="AN104" i="13"/>
  <c r="AM104" i="13" l="1"/>
  <c r="AL104" i="13" l="1"/>
  <c r="AA57" i="13"/>
  <c r="AB57" i="13"/>
  <c r="CT110" i="13"/>
  <c r="CS114" i="13"/>
  <c r="P41" i="13"/>
  <c r="O41" i="13"/>
  <c r="N41" i="13"/>
  <c r="M41" i="13"/>
  <c r="L41" i="13"/>
  <c r="K41" i="13"/>
  <c r="J41" i="13"/>
  <c r="I41" i="13"/>
  <c r="H41" i="13"/>
  <c r="G41" i="13"/>
  <c r="CF112" i="13"/>
  <c r="CE111" i="13"/>
  <c r="O34" i="13"/>
  <c r="N34" i="13"/>
  <c r="M34" i="13"/>
  <c r="L34" i="13"/>
  <c r="K34" i="13"/>
  <c r="J34" i="13"/>
  <c r="J56" i="13" s="1"/>
  <c r="I34" i="13"/>
  <c r="I56" i="13" s="1"/>
  <c r="H34" i="13"/>
  <c r="H56" i="13" s="1"/>
  <c r="G34" i="13"/>
  <c r="G56" i="13" s="1"/>
  <c r="BR111" i="13"/>
  <c r="BQ115" i="13"/>
  <c r="O27" i="13"/>
  <c r="N27" i="13"/>
  <c r="M27" i="13"/>
  <c r="L27" i="13"/>
  <c r="K27" i="13"/>
  <c r="J27" i="13"/>
  <c r="J53" i="13" s="1"/>
  <c r="I27" i="13"/>
  <c r="I53" i="13" s="1"/>
  <c r="H27" i="13"/>
  <c r="H53" i="13" s="1"/>
  <c r="G27" i="13"/>
  <c r="G53" i="13" s="1"/>
  <c r="BD114" i="13"/>
  <c r="BC105" i="13"/>
  <c r="O20" i="13"/>
  <c r="N20" i="13"/>
  <c r="M20" i="13"/>
  <c r="L20" i="13"/>
  <c r="K20" i="13"/>
  <c r="J20" i="13"/>
  <c r="I20" i="13"/>
  <c r="H20" i="13"/>
  <c r="G20" i="13"/>
  <c r="AL105" i="13"/>
  <c r="O13" i="13"/>
  <c r="N13" i="13"/>
  <c r="M13" i="13"/>
  <c r="L13" i="13"/>
  <c r="K13" i="13"/>
  <c r="J13" i="13"/>
  <c r="I13" i="13"/>
  <c r="H13" i="13"/>
  <c r="G13" i="13"/>
  <c r="AP113" i="13"/>
  <c r="H6" i="13"/>
  <c r="I6" i="13" s="1"/>
  <c r="J6" i="13" s="1"/>
  <c r="K6" i="13" s="1"/>
  <c r="L6" i="13" s="1"/>
  <c r="M6" i="13" s="1"/>
  <c r="N6" i="13" s="1"/>
  <c r="O6" i="13" s="1"/>
  <c r="P6" i="13" s="1"/>
  <c r="Q6" i="13" s="1"/>
  <c r="R6" i="13" s="1"/>
  <c r="S6" i="13" s="1"/>
  <c r="T6" i="13" s="1"/>
  <c r="U6" i="13" s="1"/>
  <c r="V6" i="13" s="1"/>
  <c r="W6" i="13" s="1"/>
  <c r="X6" i="13" s="1"/>
  <c r="Y6" i="13" s="1"/>
  <c r="Z6" i="13" s="1"/>
  <c r="AA6" i="13" s="1"/>
  <c r="AB6" i="13" s="1"/>
  <c r="AC6" i="13" s="1"/>
  <c r="J59" i="13" l="1"/>
  <c r="J50" i="13"/>
  <c r="J47" i="13"/>
  <c r="I59" i="13"/>
  <c r="I50" i="13"/>
  <c r="I47" i="13"/>
  <c r="H58" i="13"/>
  <c r="H59" i="13" s="1"/>
  <c r="H50" i="13"/>
  <c r="H47" i="13"/>
  <c r="G58" i="13"/>
  <c r="G59" i="13" s="1"/>
  <c r="G50" i="13"/>
  <c r="G47" i="13"/>
  <c r="AO105" i="13"/>
  <c r="X47" i="13"/>
  <c r="AL106" i="13" s="1"/>
  <c r="BR104" i="13"/>
  <c r="CE104" i="13"/>
  <c r="BD104" i="13"/>
  <c r="AO104" i="13"/>
  <c r="AP104" i="13"/>
  <c r="CF104" i="13"/>
  <c r="CT104" i="13"/>
  <c r="AA50" i="13"/>
  <c r="BC106" i="13" s="1"/>
  <c r="BC104" i="13"/>
  <c r="BQ104" i="13"/>
  <c r="CS104" i="13"/>
  <c r="BC110" i="13"/>
  <c r="CS110" i="13"/>
  <c r="BR114" i="13"/>
  <c r="CF114" i="13"/>
  <c r="BR105" i="13"/>
  <c r="CS115" i="13"/>
  <c r="CS113" i="13"/>
  <c r="CS111" i="13"/>
  <c r="AO111" i="13"/>
  <c r="CS112" i="13"/>
  <c r="AV111" i="13"/>
  <c r="AV113" i="13"/>
  <c r="AV112" i="13"/>
  <c r="AV114" i="13"/>
  <c r="AV115" i="13"/>
  <c r="AV110" i="13"/>
  <c r="CL115" i="13"/>
  <c r="CL110" i="13"/>
  <c r="CL111" i="13"/>
  <c r="CL112" i="13"/>
  <c r="CL113" i="13"/>
  <c r="CL114" i="13"/>
  <c r="T58" i="13"/>
  <c r="AM115" i="13"/>
  <c r="AM112" i="13"/>
  <c r="AM113" i="13"/>
  <c r="AM111" i="13"/>
  <c r="AM114" i="13"/>
  <c r="AM110" i="13"/>
  <c r="L50" i="13"/>
  <c r="AW110" i="13"/>
  <c r="AW111" i="13"/>
  <c r="AW112" i="13"/>
  <c r="AW115" i="13"/>
  <c r="AW114" i="13"/>
  <c r="AW113" i="13"/>
  <c r="O53" i="13"/>
  <c r="BN114" i="13"/>
  <c r="BN111" i="13"/>
  <c r="BN115" i="13"/>
  <c r="BN112" i="13"/>
  <c r="BN113" i="13"/>
  <c r="BN110" i="13"/>
  <c r="BW114" i="13"/>
  <c r="BW112" i="13"/>
  <c r="BW111" i="13"/>
  <c r="BW110" i="13"/>
  <c r="BW113" i="13"/>
  <c r="BW115" i="13"/>
  <c r="U58" i="13"/>
  <c r="CM110" i="13"/>
  <c r="CM115" i="13"/>
  <c r="CM112" i="13"/>
  <c r="CM113" i="13"/>
  <c r="CM111" i="13"/>
  <c r="CM114" i="13"/>
  <c r="CT115" i="13"/>
  <c r="CF110" i="13"/>
  <c r="BR112" i="13"/>
  <c r="CT113" i="13"/>
  <c r="BQ110" i="13"/>
  <c r="CT112" i="13"/>
  <c r="CT111" i="13"/>
  <c r="BR110" i="13"/>
  <c r="N53" i="13"/>
  <c r="AX111" i="13"/>
  <c r="AX110" i="13"/>
  <c r="AX114" i="13"/>
  <c r="AX112" i="13"/>
  <c r="AX113" i="13"/>
  <c r="AX115" i="13"/>
  <c r="K56" i="13"/>
  <c r="BX115" i="13"/>
  <c r="BX111" i="13"/>
  <c r="BX112" i="13"/>
  <c r="BX113" i="13"/>
  <c r="BX110" i="13"/>
  <c r="BX114" i="13"/>
  <c r="N58" i="13"/>
  <c r="N59" i="13" s="1"/>
  <c r="CN110" i="13"/>
  <c r="CN111" i="13"/>
  <c r="CN115" i="13"/>
  <c r="CN112" i="13"/>
  <c r="CN113" i="13"/>
  <c r="CN114" i="13"/>
  <c r="V58" i="13"/>
  <c r="AP112" i="13"/>
  <c r="BD115" i="13"/>
  <c r="BQ114" i="13"/>
  <c r="BC111" i="13"/>
  <c r="BV110" i="13"/>
  <c r="BV111" i="13"/>
  <c r="BV115" i="13"/>
  <c r="BV112" i="13"/>
  <c r="BV113" i="13"/>
  <c r="BV114" i="13"/>
  <c r="AG113" i="13"/>
  <c r="AG111" i="13"/>
  <c r="AG110" i="13"/>
  <c r="AG114" i="13"/>
  <c r="AG115" i="13"/>
  <c r="AG112" i="13"/>
  <c r="BH111" i="13"/>
  <c r="BH110" i="13"/>
  <c r="BH112" i="13"/>
  <c r="BH114" i="13"/>
  <c r="BH115" i="13"/>
  <c r="BH113" i="13"/>
  <c r="BP110" i="13"/>
  <c r="BP115" i="13"/>
  <c r="BP111" i="13"/>
  <c r="BP112" i="13"/>
  <c r="BP114" i="13"/>
  <c r="BP113" i="13"/>
  <c r="L56" i="13"/>
  <c r="BY111" i="13"/>
  <c r="BY114" i="13"/>
  <c r="BY112" i="13"/>
  <c r="BY110" i="13"/>
  <c r="BY113" i="13"/>
  <c r="BY115" i="13"/>
  <c r="O58" i="13"/>
  <c r="O59" i="13" s="1"/>
  <c r="CO114" i="13"/>
  <c r="CO112" i="13"/>
  <c r="CO110" i="13"/>
  <c r="CO111" i="13"/>
  <c r="CO115" i="13"/>
  <c r="CO113" i="13"/>
  <c r="W58" i="13"/>
  <c r="CF111" i="13"/>
  <c r="BQ105" i="13"/>
  <c r="CE105" i="13"/>
  <c r="CE115" i="13"/>
  <c r="AO110" i="13"/>
  <c r="CE114" i="13"/>
  <c r="AP105" i="13"/>
  <c r="AO115" i="13"/>
  <c r="AL113" i="13"/>
  <c r="AL114" i="13"/>
  <c r="AL110" i="13"/>
  <c r="AL115" i="13"/>
  <c r="AL111" i="13"/>
  <c r="AL112" i="13"/>
  <c r="CD111" i="13"/>
  <c r="CD114" i="13"/>
  <c r="CD110" i="13"/>
  <c r="CD115" i="13"/>
  <c r="CD112" i="13"/>
  <c r="CD113" i="13"/>
  <c r="AE115" i="13"/>
  <c r="AE111" i="13"/>
  <c r="AE113" i="13"/>
  <c r="AE112" i="13"/>
  <c r="AE114" i="13"/>
  <c r="AE110" i="13"/>
  <c r="AN110" i="13"/>
  <c r="AN113" i="13"/>
  <c r="AN111" i="13"/>
  <c r="AN115" i="13"/>
  <c r="AN112" i="13"/>
  <c r="AN114" i="13"/>
  <c r="BG114" i="13"/>
  <c r="BG112" i="13"/>
  <c r="BG115" i="13"/>
  <c r="BG110" i="13"/>
  <c r="BG113" i="13"/>
  <c r="BG111" i="13"/>
  <c r="O50" i="13"/>
  <c r="AZ111" i="13"/>
  <c r="AZ112" i="13"/>
  <c r="AZ110" i="13"/>
  <c r="AZ113" i="13"/>
  <c r="AZ114" i="13"/>
  <c r="AZ115" i="13"/>
  <c r="BI113" i="13"/>
  <c r="BI114" i="13"/>
  <c r="BI112" i="13"/>
  <c r="BI111" i="13"/>
  <c r="BI110" i="13"/>
  <c r="BI115" i="13"/>
  <c r="M56" i="13"/>
  <c r="BZ110" i="13"/>
  <c r="BZ113" i="13"/>
  <c r="BZ115" i="13"/>
  <c r="BZ111" i="13"/>
  <c r="BZ112" i="13"/>
  <c r="BZ114" i="13"/>
  <c r="P58" i="13"/>
  <c r="P59" i="13" s="1"/>
  <c r="CP115" i="13"/>
  <c r="CP111" i="13"/>
  <c r="CP110" i="13"/>
  <c r="CP114" i="13"/>
  <c r="CP112" i="13"/>
  <c r="CP113" i="13"/>
  <c r="X58" i="13"/>
  <c r="BR115" i="13"/>
  <c r="BQ112" i="13"/>
  <c r="CE113" i="13"/>
  <c r="BR113" i="13"/>
  <c r="BC114" i="13"/>
  <c r="AP110" i="13"/>
  <c r="CF105" i="13"/>
  <c r="K50" i="13"/>
  <c r="BM114" i="13"/>
  <c r="BM115" i="13"/>
  <c r="BM112" i="13"/>
  <c r="BM110" i="13"/>
  <c r="BM113" i="13"/>
  <c r="BM111" i="13"/>
  <c r="L58" i="13"/>
  <c r="L59" i="13" s="1"/>
  <c r="BD111" i="13"/>
  <c r="AY111" i="13"/>
  <c r="AY113" i="13"/>
  <c r="AY112" i="13"/>
  <c r="AY110" i="13"/>
  <c r="AY114" i="13"/>
  <c r="AY115" i="13"/>
  <c r="AH112" i="13"/>
  <c r="AH111" i="13"/>
  <c r="AH110" i="13"/>
  <c r="AH115" i="13"/>
  <c r="AH114" i="13"/>
  <c r="AH113" i="13"/>
  <c r="L47" i="13"/>
  <c r="AI115" i="13"/>
  <c r="AI110" i="13"/>
  <c r="AI114" i="13"/>
  <c r="AI112" i="13"/>
  <c r="AI111" i="13"/>
  <c r="AI113" i="13"/>
  <c r="AS111" i="13"/>
  <c r="AS115" i="13"/>
  <c r="AS112" i="13"/>
  <c r="AS113" i="13"/>
  <c r="AS114" i="13"/>
  <c r="AS110" i="13"/>
  <c r="BA110" i="13"/>
  <c r="BA111" i="13"/>
  <c r="BA115" i="13"/>
  <c r="BA112" i="13"/>
  <c r="BA113" i="13"/>
  <c r="BA114" i="13"/>
  <c r="K53" i="13"/>
  <c r="BJ111" i="13"/>
  <c r="BJ115" i="13"/>
  <c r="BJ110" i="13"/>
  <c r="BJ112" i="13"/>
  <c r="BJ113" i="13"/>
  <c r="BJ114" i="13"/>
  <c r="N56" i="13"/>
  <c r="CA111" i="13"/>
  <c r="CA113" i="13"/>
  <c r="CA115" i="13"/>
  <c r="CA112" i="13"/>
  <c r="CA114" i="13"/>
  <c r="CA110" i="13"/>
  <c r="CI111" i="13"/>
  <c r="CI110" i="13"/>
  <c r="CI112" i="13"/>
  <c r="CI114" i="13"/>
  <c r="CI113" i="13"/>
  <c r="CI115" i="13"/>
  <c r="Q58" i="13"/>
  <c r="CQ115" i="13"/>
  <c r="CQ111" i="13"/>
  <c r="CQ113" i="13"/>
  <c r="CQ114" i="13"/>
  <c r="CQ112" i="13"/>
  <c r="CQ110" i="13"/>
  <c r="Y58" i="13"/>
  <c r="BQ113" i="13"/>
  <c r="BD110" i="13"/>
  <c r="AP111" i="13"/>
  <c r="BQ111" i="13"/>
  <c r="CE112" i="13"/>
  <c r="CF115" i="13"/>
  <c r="BD112" i="13"/>
  <c r="CF113" i="13"/>
  <c r="O47" i="13"/>
  <c r="BD113" i="13"/>
  <c r="AF111" i="13"/>
  <c r="AF112" i="13"/>
  <c r="AF110" i="13"/>
  <c r="AF113" i="13"/>
  <c r="AF115" i="13"/>
  <c r="AF114" i="13"/>
  <c r="BO113" i="13"/>
  <c r="BO114" i="13"/>
  <c r="BO111" i="13"/>
  <c r="BO112" i="13"/>
  <c r="BO115" i="13"/>
  <c r="BO110" i="13"/>
  <c r="AT111" i="13"/>
  <c r="AT112" i="13"/>
  <c r="AT114" i="13"/>
  <c r="AT113" i="13"/>
  <c r="AT115" i="13"/>
  <c r="AT110" i="13"/>
  <c r="BB114" i="13"/>
  <c r="BB111" i="13"/>
  <c r="BB112" i="13"/>
  <c r="BB113" i="13"/>
  <c r="BB115" i="13"/>
  <c r="BB110" i="13"/>
  <c r="L53" i="13"/>
  <c r="BK115" i="13"/>
  <c r="BK113" i="13"/>
  <c r="BK111" i="13"/>
  <c r="BK114" i="13"/>
  <c r="BK112" i="13"/>
  <c r="BK110" i="13"/>
  <c r="O56" i="13"/>
  <c r="CB115" i="13"/>
  <c r="CB112" i="13"/>
  <c r="CB110" i="13"/>
  <c r="CB114" i="13"/>
  <c r="CB111" i="13"/>
  <c r="CB113" i="13"/>
  <c r="CJ110" i="13"/>
  <c r="CJ115" i="13"/>
  <c r="CJ111" i="13"/>
  <c r="CJ112" i="13"/>
  <c r="CJ114" i="13"/>
  <c r="CJ113" i="13"/>
  <c r="R58" i="13"/>
  <c r="CR110" i="13"/>
  <c r="CR115" i="13"/>
  <c r="CR114" i="13"/>
  <c r="CR113" i="13"/>
  <c r="CR111" i="13"/>
  <c r="CR112" i="13"/>
  <c r="Z58" i="13"/>
  <c r="AB58" i="13"/>
  <c r="CT105" i="13" s="1"/>
  <c r="AP114" i="13"/>
  <c r="BC112" i="13"/>
  <c r="BC115" i="13"/>
  <c r="CE110" i="13"/>
  <c r="BC113" i="13"/>
  <c r="AP115" i="13"/>
  <c r="N50" i="13"/>
  <c r="K47" i="13"/>
  <c r="AJ114" i="13"/>
  <c r="AJ111" i="13"/>
  <c r="AJ113" i="13"/>
  <c r="AJ112" i="13"/>
  <c r="AJ110" i="13"/>
  <c r="AJ115" i="13"/>
  <c r="N47" i="13"/>
  <c r="AK114" i="13"/>
  <c r="AK111" i="13"/>
  <c r="AK115" i="13"/>
  <c r="AK110" i="13"/>
  <c r="AK113" i="13"/>
  <c r="AK112" i="13"/>
  <c r="AU115" i="13"/>
  <c r="AU112" i="13"/>
  <c r="AU114" i="13"/>
  <c r="AU111" i="13"/>
  <c r="AU113" i="13"/>
  <c r="AU110" i="13"/>
  <c r="M53" i="13"/>
  <c r="BL110" i="13"/>
  <c r="BL115" i="13"/>
  <c r="BL112" i="13"/>
  <c r="BL113" i="13"/>
  <c r="BL114" i="13"/>
  <c r="BL111" i="13"/>
  <c r="BU115" i="13"/>
  <c r="BU112" i="13"/>
  <c r="BU113" i="13"/>
  <c r="BU110" i="13"/>
  <c r="BU111" i="13"/>
  <c r="BU114" i="13"/>
  <c r="CC112" i="13"/>
  <c r="CC110" i="13"/>
  <c r="CC115" i="13"/>
  <c r="CC113" i="13"/>
  <c r="CC111" i="13"/>
  <c r="CC114" i="13"/>
  <c r="K58" i="13"/>
  <c r="K59" i="13" s="1"/>
  <c r="S58" i="13"/>
  <c r="CK115" i="13"/>
  <c r="CK111" i="13"/>
  <c r="CK110" i="13"/>
  <c r="CK114" i="13"/>
  <c r="CK112" i="13"/>
  <c r="CK113" i="13"/>
  <c r="AA58" i="13"/>
  <c r="CS105" i="13" s="1"/>
  <c r="CT114" i="13"/>
  <c r="AO112" i="13"/>
  <c r="BD105" i="13"/>
  <c r="AO113" i="13"/>
  <c r="AO114" i="13"/>
  <c r="M50" i="13"/>
  <c r="M58" i="13"/>
  <c r="M59" i="13" s="1"/>
  <c r="M47" i="13"/>
  <c r="O13" i="12"/>
  <c r="N13" i="12"/>
  <c r="M13" i="12"/>
  <c r="L13" i="12"/>
  <c r="K13" i="12"/>
  <c r="J13" i="12"/>
  <c r="I13" i="12"/>
  <c r="H13" i="12"/>
  <c r="G13" i="12"/>
  <c r="F13" i="12"/>
  <c r="E13" i="12"/>
  <c r="D13" i="12"/>
  <c r="C13" i="12"/>
  <c r="B13" i="12"/>
  <c r="R13" i="12"/>
  <c r="C6" i="12"/>
  <c r="D6" i="12" s="1"/>
  <c r="E6" i="12" s="1"/>
  <c r="F6" i="12" s="1"/>
  <c r="G6" i="12" s="1"/>
  <c r="H6" i="12" s="1"/>
  <c r="I6" i="12" s="1"/>
  <c r="J6" i="12" s="1"/>
  <c r="K6" i="12" s="1"/>
  <c r="L6" i="12" s="1"/>
  <c r="M6" i="12" s="1"/>
  <c r="N6" i="12" s="1"/>
  <c r="O6" i="12" s="1"/>
  <c r="P6" i="12" s="1"/>
  <c r="Q6" i="12" s="1"/>
  <c r="R6" i="12" s="1"/>
  <c r="S6" i="12" s="1"/>
  <c r="Q13" i="12" l="1"/>
  <c r="P13" i="12"/>
  <c r="S13" i="12"/>
  <c r="AA47" i="13"/>
  <c r="AO106" i="13" s="1"/>
  <c r="AU105" i="13"/>
  <c r="S50" i="13"/>
  <c r="AU106" i="13" s="1"/>
  <c r="AK105" i="13"/>
  <c r="W47" i="13"/>
  <c r="AK106" i="13" s="1"/>
  <c r="CB105" i="13"/>
  <c r="X56" i="13"/>
  <c r="CB106" i="13" s="1"/>
  <c r="CL105" i="13"/>
  <c r="T59" i="13"/>
  <c r="CL106" i="13" s="1"/>
  <c r="BU105" i="13"/>
  <c r="Q56" i="13"/>
  <c r="BU106" i="13" s="1"/>
  <c r="CJ105" i="13"/>
  <c r="R59" i="13"/>
  <c r="CJ106" i="13" s="1"/>
  <c r="BK105" i="13"/>
  <c r="U53" i="13"/>
  <c r="BK106" i="13" s="1"/>
  <c r="AT105" i="13"/>
  <c r="R50" i="13"/>
  <c r="AT106" i="13" s="1"/>
  <c r="AY105" i="13"/>
  <c r="W50" i="13"/>
  <c r="AY106" i="13" s="1"/>
  <c r="BH105" i="13"/>
  <c r="R53" i="13"/>
  <c r="BH106" i="13" s="1"/>
  <c r="AX105" i="13"/>
  <c r="V50" i="13"/>
  <c r="AX106" i="13" s="1"/>
  <c r="AM105" i="13"/>
  <c r="Y47" i="13"/>
  <c r="AM106" i="13" s="1"/>
  <c r="AB50" i="13"/>
  <c r="BD106" i="13" s="1"/>
  <c r="BL105" i="13"/>
  <c r="V53" i="13"/>
  <c r="BL106" i="13" s="1"/>
  <c r="BX105" i="13"/>
  <c r="T56" i="13"/>
  <c r="BX106" i="13" s="1"/>
  <c r="CK105" i="13"/>
  <c r="S59" i="13"/>
  <c r="CK106" i="13" s="1"/>
  <c r="CC105" i="13"/>
  <c r="Y56" i="13"/>
  <c r="CC106" i="13" s="1"/>
  <c r="CR105" i="13"/>
  <c r="Z59" i="13"/>
  <c r="CR106" i="13" s="1"/>
  <c r="BB105" i="13"/>
  <c r="Z50" i="13"/>
  <c r="BB106" i="13" s="1"/>
  <c r="CA105" i="13"/>
  <c r="W56" i="13"/>
  <c r="CA106" i="13" s="1"/>
  <c r="AI105" i="13"/>
  <c r="U47" i="13"/>
  <c r="AI106" i="13" s="1"/>
  <c r="AH105" i="13"/>
  <c r="T47" i="13"/>
  <c r="AH106" i="13" s="1"/>
  <c r="BP105" i="13"/>
  <c r="Z53" i="13"/>
  <c r="BP106" i="13" s="1"/>
  <c r="CN105" i="13"/>
  <c r="V59" i="13"/>
  <c r="CN106" i="13" s="1"/>
  <c r="AF105" i="13"/>
  <c r="R47" i="13"/>
  <c r="AF106" i="13" s="1"/>
  <c r="BG105" i="13"/>
  <c r="Q53" i="13"/>
  <c r="BG106" i="13" s="1"/>
  <c r="BY105" i="13"/>
  <c r="U56" i="13"/>
  <c r="BY106" i="13" s="1"/>
  <c r="AS105" i="13"/>
  <c r="Q50" i="13"/>
  <c r="AS106" i="13" s="1"/>
  <c r="BZ105" i="13"/>
  <c r="V56" i="13"/>
  <c r="BZ106" i="13" s="1"/>
  <c r="AZ105" i="13"/>
  <c r="X50" i="13"/>
  <c r="AZ106" i="13" s="1"/>
  <c r="CO105" i="13"/>
  <c r="W59" i="13"/>
  <c r="CO106" i="13" s="1"/>
  <c r="AW105" i="13"/>
  <c r="U50" i="13"/>
  <c r="AW106" i="13" s="1"/>
  <c r="AE105" i="13"/>
  <c r="Q47" i="13"/>
  <c r="AE106" i="13" s="1"/>
  <c r="AV105" i="13"/>
  <c r="T50" i="13"/>
  <c r="AV106" i="13" s="1"/>
  <c r="AN105" i="13"/>
  <c r="Z47" i="13"/>
  <c r="AN106" i="13" s="1"/>
  <c r="BA105" i="13"/>
  <c r="Y50" i="13"/>
  <c r="BA106" i="13" s="1"/>
  <c r="BI105" i="13"/>
  <c r="S53" i="13"/>
  <c r="BI106" i="13" s="1"/>
  <c r="BV105" i="13"/>
  <c r="R56" i="13"/>
  <c r="BV106" i="13" s="1"/>
  <c r="CI105" i="13"/>
  <c r="Q59" i="13"/>
  <c r="CI106" i="13" s="1"/>
  <c r="BJ105" i="13"/>
  <c r="T53" i="13"/>
  <c r="BJ106" i="13" s="1"/>
  <c r="CP105" i="13"/>
  <c r="X59" i="13"/>
  <c r="CP106" i="13" s="1"/>
  <c r="CM105" i="13"/>
  <c r="U59" i="13"/>
  <c r="CM106" i="13" s="1"/>
  <c r="BN105" i="13"/>
  <c r="X53" i="13"/>
  <c r="BN106" i="13" s="1"/>
  <c r="AJ105" i="13"/>
  <c r="V47" i="13"/>
  <c r="AJ106" i="13" s="1"/>
  <c r="BO105" i="13"/>
  <c r="Y53" i="13"/>
  <c r="BO106" i="13" s="1"/>
  <c r="CQ105" i="13"/>
  <c r="Y59" i="13"/>
  <c r="CQ106" i="13" s="1"/>
  <c r="BM105" i="13"/>
  <c r="W53" i="13"/>
  <c r="BM106" i="13" s="1"/>
  <c r="CD105" i="13"/>
  <c r="Z56" i="13"/>
  <c r="CD106" i="13" s="1"/>
  <c r="AG105" i="13"/>
  <c r="S47" i="13"/>
  <c r="AG106" i="13" s="1"/>
  <c r="BW105" i="13"/>
  <c r="S56" i="13"/>
  <c r="BW106" i="13" s="1"/>
  <c r="AB59" i="13"/>
  <c r="CT106" i="13" s="1"/>
  <c r="AA59" i="13"/>
  <c r="CS106" i="13" s="1"/>
  <c r="AB56" i="13"/>
  <c r="CF106" i="13" s="1"/>
  <c r="AA56" i="13"/>
  <c r="CE106" i="13" s="1"/>
  <c r="AB53" i="13"/>
  <c r="BR106" i="13" s="1"/>
  <c r="AA53" i="13"/>
  <c r="BQ106" i="13" s="1"/>
  <c r="AP106" i="13"/>
  <c r="D7" i="10" l="1"/>
  <c r="E7" i="10" s="1"/>
  <c r="F7" i="10" s="1"/>
  <c r="G7" i="10" s="1"/>
  <c r="H7" i="10" s="1"/>
  <c r="I7" i="10" s="1"/>
  <c r="J7" i="10" s="1"/>
  <c r="K7" i="10" s="1"/>
  <c r="L7" i="10" s="1"/>
  <c r="M7" i="10" s="1"/>
  <c r="N7" i="10" s="1"/>
  <c r="O7" i="10" s="1"/>
  <c r="P7" i="10" s="1"/>
  <c r="Q7" i="10" s="1"/>
  <c r="R7" i="10" s="1"/>
  <c r="S7" i="10" s="1"/>
  <c r="T7" i="10" s="1"/>
  <c r="U7" i="10" s="1"/>
  <c r="V7" i="10" s="1"/>
  <c r="W7" i="10" s="1"/>
  <c r="X7" i="10" s="1"/>
  <c r="Y7" i="10" s="1"/>
  <c r="Z7" i="10" s="1"/>
  <c r="AA7" i="10" s="1"/>
  <c r="Q113" i="9" l="1"/>
  <c r="Q103" i="9"/>
  <c r="Q95" i="9"/>
  <c r="Q85" i="9"/>
  <c r="Q77" i="9"/>
  <c r="Q67" i="9"/>
  <c r="Q59" i="9"/>
  <c r="Q49" i="9"/>
  <c r="Q41" i="9"/>
  <c r="Q31" i="9"/>
  <c r="Q23" i="9"/>
  <c r="Q13" i="9"/>
  <c r="R103" i="9" l="1"/>
  <c r="R85" i="9"/>
  <c r="R67" i="9"/>
  <c r="R49" i="9"/>
  <c r="R31" i="9"/>
  <c r="R13" i="9"/>
  <c r="S85" i="9"/>
  <c r="S49" i="9"/>
  <c r="Q129" i="9"/>
  <c r="P129" i="9"/>
  <c r="O129" i="9"/>
  <c r="N129" i="9"/>
  <c r="M129" i="9"/>
  <c r="L129" i="9"/>
  <c r="K129" i="9"/>
  <c r="J129" i="9"/>
  <c r="I129" i="9"/>
  <c r="H129" i="9"/>
  <c r="G129" i="9"/>
  <c r="F129" i="9"/>
  <c r="E129" i="9"/>
  <c r="D129" i="9"/>
  <c r="Q128" i="9"/>
  <c r="P128" i="9"/>
  <c r="O128" i="9"/>
  <c r="N128" i="9"/>
  <c r="M128" i="9"/>
  <c r="L128" i="9"/>
  <c r="K128" i="9"/>
  <c r="J128" i="9"/>
  <c r="I128" i="9"/>
  <c r="H128" i="9"/>
  <c r="G128" i="9"/>
  <c r="F128" i="9"/>
  <c r="E128" i="9"/>
  <c r="D128" i="9"/>
  <c r="Q127" i="9"/>
  <c r="P127" i="9"/>
  <c r="O127" i="9"/>
  <c r="N127" i="9"/>
  <c r="M127" i="9"/>
  <c r="L127" i="9"/>
  <c r="K127" i="9"/>
  <c r="J127" i="9"/>
  <c r="I127" i="9"/>
  <c r="H127" i="9"/>
  <c r="G127" i="9"/>
  <c r="F127" i="9"/>
  <c r="E127" i="9"/>
  <c r="D127" i="9"/>
  <c r="Q126" i="9"/>
  <c r="P126" i="9"/>
  <c r="O126" i="9"/>
  <c r="N126" i="9"/>
  <c r="M126" i="9"/>
  <c r="L126" i="9"/>
  <c r="K126" i="9"/>
  <c r="J126" i="9"/>
  <c r="I126" i="9"/>
  <c r="H126" i="9"/>
  <c r="G126" i="9"/>
  <c r="F126" i="9"/>
  <c r="E126" i="9"/>
  <c r="D126" i="9"/>
  <c r="Q125" i="9"/>
  <c r="P125" i="9"/>
  <c r="O125" i="9"/>
  <c r="N125" i="9"/>
  <c r="M125" i="9"/>
  <c r="L125" i="9"/>
  <c r="K125" i="9"/>
  <c r="J125" i="9"/>
  <c r="I125" i="9"/>
  <c r="H125" i="9"/>
  <c r="G125" i="9"/>
  <c r="F125" i="9"/>
  <c r="E125" i="9"/>
  <c r="D125" i="9"/>
  <c r="Q124" i="9"/>
  <c r="Q130" i="9" s="1"/>
  <c r="P124" i="9"/>
  <c r="O124" i="9"/>
  <c r="N124" i="9"/>
  <c r="M124" i="9"/>
  <c r="L124" i="9"/>
  <c r="K124" i="9"/>
  <c r="J124" i="9"/>
  <c r="I124" i="9"/>
  <c r="H124" i="9"/>
  <c r="G124" i="9"/>
  <c r="F124" i="9"/>
  <c r="E124" i="9"/>
  <c r="D124" i="9"/>
  <c r="Q120" i="9"/>
  <c r="P120" i="9"/>
  <c r="O120" i="9"/>
  <c r="N120" i="9"/>
  <c r="M120" i="9"/>
  <c r="L120" i="9"/>
  <c r="K120" i="9"/>
  <c r="J120" i="9"/>
  <c r="I120" i="9"/>
  <c r="H120" i="9"/>
  <c r="G120" i="9"/>
  <c r="F120" i="9"/>
  <c r="E120" i="9"/>
  <c r="D120" i="9"/>
  <c r="Q119" i="9"/>
  <c r="P119" i="9"/>
  <c r="O119" i="9"/>
  <c r="N119" i="9"/>
  <c r="M119" i="9"/>
  <c r="L119" i="9"/>
  <c r="K119" i="9"/>
  <c r="J119" i="9"/>
  <c r="I119" i="9"/>
  <c r="H119" i="9"/>
  <c r="G119" i="9"/>
  <c r="F119" i="9"/>
  <c r="E119" i="9"/>
  <c r="D119" i="9"/>
  <c r="Q118" i="9"/>
  <c r="P118" i="9"/>
  <c r="O118" i="9"/>
  <c r="N118" i="9"/>
  <c r="M118" i="9"/>
  <c r="L118" i="9"/>
  <c r="K118" i="9"/>
  <c r="J118" i="9"/>
  <c r="I118" i="9"/>
  <c r="H118" i="9"/>
  <c r="G118" i="9"/>
  <c r="F118" i="9"/>
  <c r="E118" i="9"/>
  <c r="D118" i="9"/>
  <c r="S139" i="8"/>
  <c r="R139" i="8"/>
  <c r="O139" i="8"/>
  <c r="N139" i="8"/>
  <c r="M139" i="8"/>
  <c r="J139" i="8"/>
  <c r="I139" i="8"/>
  <c r="G139" i="8"/>
  <c r="F139" i="8"/>
  <c r="E139" i="8"/>
  <c r="S129" i="8"/>
  <c r="R129" i="8"/>
  <c r="Q129" i="8"/>
  <c r="P129" i="8"/>
  <c r="O129" i="8"/>
  <c r="N129" i="8"/>
  <c r="M129" i="8"/>
  <c r="L129" i="8"/>
  <c r="K129" i="8"/>
  <c r="J129" i="8"/>
  <c r="I129" i="8"/>
  <c r="H129" i="8"/>
  <c r="G129" i="8"/>
  <c r="F129" i="8"/>
  <c r="E129" i="8"/>
  <c r="S128" i="8"/>
  <c r="R128" i="8"/>
  <c r="Q128" i="8"/>
  <c r="P128" i="8"/>
  <c r="O128" i="8"/>
  <c r="N128" i="8"/>
  <c r="M128" i="8"/>
  <c r="L128" i="8"/>
  <c r="K128" i="8"/>
  <c r="J128" i="8"/>
  <c r="I128" i="8"/>
  <c r="H128" i="8"/>
  <c r="G128" i="8"/>
  <c r="F128" i="8"/>
  <c r="E128" i="8"/>
  <c r="S127" i="8"/>
  <c r="R127" i="8"/>
  <c r="Q127" i="8"/>
  <c r="P127" i="8"/>
  <c r="O127" i="8"/>
  <c r="N127" i="8"/>
  <c r="M127" i="8"/>
  <c r="L127" i="8"/>
  <c r="K127" i="8"/>
  <c r="J127" i="8"/>
  <c r="I127" i="8"/>
  <c r="H127" i="8"/>
  <c r="G127" i="8"/>
  <c r="F127" i="8"/>
  <c r="E127" i="8"/>
  <c r="S126" i="8"/>
  <c r="R126" i="8"/>
  <c r="Q126" i="8"/>
  <c r="P126" i="8"/>
  <c r="O126" i="8"/>
  <c r="N126" i="8"/>
  <c r="M126" i="8"/>
  <c r="L126" i="8"/>
  <c r="K126" i="8"/>
  <c r="J126" i="8"/>
  <c r="I126" i="8"/>
  <c r="H126" i="8"/>
  <c r="G126" i="8"/>
  <c r="F126" i="8"/>
  <c r="E126" i="8"/>
  <c r="S125" i="8"/>
  <c r="R125" i="8"/>
  <c r="Q125" i="8"/>
  <c r="P125" i="8"/>
  <c r="O125" i="8"/>
  <c r="N125" i="8"/>
  <c r="M125" i="8"/>
  <c r="L125" i="8"/>
  <c r="K125" i="8"/>
  <c r="J125" i="8"/>
  <c r="I125" i="8"/>
  <c r="H125" i="8"/>
  <c r="G125" i="8"/>
  <c r="F125" i="8"/>
  <c r="E125" i="8"/>
  <c r="S124" i="8"/>
  <c r="R124" i="8"/>
  <c r="Q124" i="8"/>
  <c r="P124" i="8"/>
  <c r="O124" i="8"/>
  <c r="N124" i="8"/>
  <c r="M124" i="8"/>
  <c r="L124" i="8"/>
  <c r="K124" i="8"/>
  <c r="J124" i="8"/>
  <c r="I124" i="8"/>
  <c r="H124" i="8"/>
  <c r="G124" i="8"/>
  <c r="F124" i="8"/>
  <c r="E124" i="8"/>
  <c r="D129" i="8"/>
  <c r="D128" i="8"/>
  <c r="D127" i="8"/>
  <c r="D126" i="8"/>
  <c r="D125" i="8"/>
  <c r="D124" i="8"/>
  <c r="S120" i="8"/>
  <c r="R120" i="8"/>
  <c r="P120" i="8"/>
  <c r="O120" i="8"/>
  <c r="N120" i="8"/>
  <c r="M120" i="8"/>
  <c r="L120" i="8"/>
  <c r="K120" i="8"/>
  <c r="J120" i="8"/>
  <c r="I120" i="8"/>
  <c r="H120" i="8"/>
  <c r="G120" i="8"/>
  <c r="F120" i="8"/>
  <c r="E120" i="8"/>
  <c r="S119" i="8"/>
  <c r="R119" i="8"/>
  <c r="Q119" i="8"/>
  <c r="P119" i="8"/>
  <c r="O119" i="8"/>
  <c r="N119" i="8"/>
  <c r="M119" i="8"/>
  <c r="L119" i="8"/>
  <c r="K119" i="8"/>
  <c r="J119" i="8"/>
  <c r="I119" i="8"/>
  <c r="H119" i="8"/>
  <c r="G119" i="8"/>
  <c r="F119" i="8"/>
  <c r="E119" i="8"/>
  <c r="S118" i="8"/>
  <c r="R118" i="8"/>
  <c r="Q118" i="8"/>
  <c r="P118" i="8"/>
  <c r="O118" i="8"/>
  <c r="N118" i="8"/>
  <c r="M118" i="8"/>
  <c r="L118" i="8"/>
  <c r="L121" i="8" s="1"/>
  <c r="K118" i="8"/>
  <c r="J118" i="8"/>
  <c r="I118" i="8"/>
  <c r="H118" i="8"/>
  <c r="G118" i="8"/>
  <c r="F118" i="8"/>
  <c r="E118" i="8"/>
  <c r="D120" i="8"/>
  <c r="D119" i="8"/>
  <c r="D118" i="8"/>
  <c r="P121" i="8" l="1"/>
  <c r="Q121" i="8"/>
  <c r="G121" i="9"/>
  <c r="J121" i="9"/>
  <c r="H130" i="9"/>
  <c r="E121" i="9"/>
  <c r="I130" i="8"/>
  <c r="K121" i="9"/>
  <c r="I130" i="9"/>
  <c r="J130" i="9"/>
  <c r="O121" i="8"/>
  <c r="H121" i="8"/>
  <c r="Q130" i="8"/>
  <c r="G121" i="8"/>
  <c r="I121" i="8"/>
  <c r="D139" i="9"/>
  <c r="L139" i="9"/>
  <c r="Q139" i="8"/>
  <c r="D139" i="8"/>
  <c r="L139" i="8"/>
  <c r="K139" i="8"/>
  <c r="S23" i="9"/>
  <c r="S59" i="9"/>
  <c r="H139" i="9"/>
  <c r="P139" i="9"/>
  <c r="K139" i="9"/>
  <c r="M139" i="9"/>
  <c r="E139" i="9"/>
  <c r="F139" i="9"/>
  <c r="N139" i="9"/>
  <c r="G139" i="9"/>
  <c r="O139" i="9"/>
  <c r="J139" i="9"/>
  <c r="H139" i="8"/>
  <c r="P139" i="8"/>
  <c r="O121" i="9"/>
  <c r="H121" i="9"/>
  <c r="P121" i="9"/>
  <c r="F130" i="9"/>
  <c r="N130" i="9"/>
  <c r="S31" i="9"/>
  <c r="S103" i="9"/>
  <c r="G130" i="9"/>
  <c r="O130" i="9"/>
  <c r="S16" i="9"/>
  <c r="T119" i="9"/>
  <c r="R23" i="9"/>
  <c r="R70" i="9"/>
  <c r="M121" i="9"/>
  <c r="K130" i="9"/>
  <c r="F121" i="9"/>
  <c r="N121" i="9"/>
  <c r="D130" i="9"/>
  <c r="L130" i="9"/>
  <c r="S13" i="9"/>
  <c r="R95" i="9"/>
  <c r="R96" i="9" s="1"/>
  <c r="S95" i="9"/>
  <c r="R113" i="9"/>
  <c r="R77" i="9"/>
  <c r="S77" i="9"/>
  <c r="R59" i="9"/>
  <c r="R41" i="9"/>
  <c r="S41" i="9"/>
  <c r="R34" i="9"/>
  <c r="R52" i="9"/>
  <c r="R88" i="9"/>
  <c r="R106" i="9"/>
  <c r="S34" i="9"/>
  <c r="S52" i="9"/>
  <c r="S70" i="9"/>
  <c r="S88" i="9"/>
  <c r="S106" i="9"/>
  <c r="R16" i="9"/>
  <c r="R118" i="9"/>
  <c r="D121" i="9"/>
  <c r="L121" i="9"/>
  <c r="Q121" i="9"/>
  <c r="I139" i="9"/>
  <c r="I121" i="9"/>
  <c r="P130" i="9"/>
  <c r="E130" i="9"/>
  <c r="M130" i="9"/>
  <c r="E121" i="8"/>
  <c r="M121" i="8"/>
  <c r="J130" i="8"/>
  <c r="R130" i="8"/>
  <c r="F121" i="8"/>
  <c r="N121" i="8"/>
  <c r="K130" i="8"/>
  <c r="S130" i="8"/>
  <c r="L130" i="8"/>
  <c r="E130" i="8"/>
  <c r="M130" i="8"/>
  <c r="F130" i="8"/>
  <c r="N130" i="8"/>
  <c r="D121" i="8"/>
  <c r="J121" i="8"/>
  <c r="R121" i="8"/>
  <c r="G130" i="8"/>
  <c r="O130" i="8"/>
  <c r="K121" i="8"/>
  <c r="S121" i="8"/>
  <c r="D130" i="8"/>
  <c r="H130" i="8"/>
  <c r="P130" i="8"/>
  <c r="S96" i="9" l="1"/>
  <c r="S118" i="9"/>
  <c r="R60" i="9"/>
  <c r="S129" i="9"/>
  <c r="R114" i="9"/>
  <c r="R129" i="9" s="1"/>
  <c r="S120" i="9"/>
  <c r="S24" i="9"/>
  <c r="S124" i="9" s="1"/>
  <c r="T128" i="9"/>
  <c r="R126" i="9"/>
  <c r="T125" i="9"/>
  <c r="R128" i="9"/>
  <c r="S139" i="9"/>
  <c r="R24" i="9"/>
  <c r="Q139" i="9"/>
  <c r="S42" i="9"/>
  <c r="S119" i="9"/>
  <c r="R42" i="9"/>
  <c r="S78" i="9"/>
  <c r="R119" i="9"/>
  <c r="T126" i="9"/>
  <c r="S128" i="9"/>
  <c r="T127" i="9"/>
  <c r="R78" i="9"/>
  <c r="R120" i="9"/>
  <c r="R139" i="9"/>
  <c r="S60" i="9"/>
  <c r="T120" i="9"/>
  <c r="T124" i="9"/>
  <c r="T129" i="9"/>
  <c r="T139" i="9"/>
  <c r="T118" i="9"/>
  <c r="T139" i="8"/>
  <c r="S121" i="9" l="1"/>
  <c r="S127" i="9"/>
  <c r="R124" i="9"/>
  <c r="R121" i="9"/>
  <c r="R125" i="9"/>
  <c r="S125" i="9"/>
  <c r="R127" i="9"/>
  <c r="S126" i="9"/>
  <c r="T130" i="9"/>
  <c r="T121" i="9"/>
  <c r="S130" i="9" l="1"/>
  <c r="R130" i="9"/>
  <c r="T118" i="8" l="1"/>
  <c r="T119" i="8"/>
  <c r="T120" i="8"/>
  <c r="T129" i="8"/>
  <c r="T128" i="8"/>
  <c r="T127" i="8"/>
  <c r="T126" i="8"/>
  <c r="T125" i="8"/>
  <c r="T124" i="8"/>
  <c r="T121" i="8" l="1"/>
  <c r="T130" i="8"/>
  <c r="X37" i="6" l="1"/>
  <c r="W37" i="6"/>
  <c r="V37" i="6"/>
  <c r="U37" i="6"/>
  <c r="T37" i="6"/>
  <c r="S37" i="6"/>
  <c r="R37" i="6"/>
  <c r="Q37" i="6"/>
  <c r="P37" i="6"/>
  <c r="O37" i="6"/>
  <c r="N37" i="6"/>
  <c r="M37" i="6"/>
  <c r="L37" i="6"/>
  <c r="K37" i="6"/>
  <c r="J37" i="6"/>
  <c r="I37" i="6"/>
  <c r="H37" i="6"/>
  <c r="G37" i="6"/>
  <c r="F37" i="6"/>
  <c r="E37" i="6"/>
  <c r="D37" i="6"/>
  <c r="C37" i="6"/>
  <c r="X36" i="6"/>
  <c r="W36" i="6"/>
  <c r="V36" i="6"/>
  <c r="U36" i="6"/>
  <c r="T36" i="6"/>
  <c r="S36" i="6"/>
  <c r="R36" i="6"/>
  <c r="Q36" i="6"/>
  <c r="P36" i="6"/>
  <c r="O36" i="6"/>
  <c r="N36" i="6"/>
  <c r="M36" i="6"/>
  <c r="L36" i="6"/>
  <c r="K36" i="6"/>
  <c r="J36" i="6"/>
  <c r="I36" i="6"/>
  <c r="H36" i="6"/>
  <c r="H38" i="6" s="1"/>
  <c r="H39" i="6" s="1"/>
  <c r="G36" i="6"/>
  <c r="F36" i="6"/>
  <c r="E36" i="6"/>
  <c r="D36" i="6"/>
  <c r="C36" i="6"/>
  <c r="X35" i="6"/>
  <c r="W35" i="6"/>
  <c r="V35" i="6"/>
  <c r="U35" i="6"/>
  <c r="T35" i="6"/>
  <c r="S35" i="6"/>
  <c r="R35" i="6"/>
  <c r="Q35" i="6"/>
  <c r="P35" i="6"/>
  <c r="O35" i="6"/>
  <c r="N35" i="6"/>
  <c r="M35" i="6"/>
  <c r="L35" i="6"/>
  <c r="K35" i="6"/>
  <c r="J35" i="6"/>
  <c r="I35" i="6"/>
  <c r="H35" i="6"/>
  <c r="G35" i="6"/>
  <c r="F35" i="6"/>
  <c r="E35" i="6"/>
  <c r="D35" i="6"/>
  <c r="D38" i="6" s="1"/>
  <c r="D39" i="6" s="1"/>
  <c r="C35" i="6"/>
  <c r="F38" i="6" l="1"/>
  <c r="F39" i="6" s="1"/>
  <c r="G38" i="6"/>
  <c r="G39" i="6" s="1"/>
  <c r="J38" i="6"/>
  <c r="J39" i="6" s="1"/>
  <c r="I38" i="6"/>
  <c r="I39" i="6" s="1"/>
  <c r="E38" i="6"/>
  <c r="E39" i="6" s="1"/>
  <c r="C38" i="6"/>
  <c r="C39" i="6" s="1"/>
  <c r="K38" i="6"/>
  <c r="K39" i="6" s="1"/>
  <c r="L38" i="6"/>
  <c r="L39" i="6" s="1"/>
  <c r="X68" i="6" l="1"/>
  <c r="W68" i="6"/>
  <c r="V68" i="6"/>
  <c r="U68" i="6"/>
  <c r="T68" i="6"/>
  <c r="S68" i="6"/>
  <c r="R68" i="6"/>
  <c r="Q68" i="6"/>
  <c r="P68" i="6"/>
  <c r="O68" i="6"/>
  <c r="N68" i="6"/>
  <c r="M68" i="6"/>
  <c r="X67" i="6"/>
  <c r="W67" i="6"/>
  <c r="V67" i="6"/>
  <c r="U67" i="6"/>
  <c r="T67" i="6"/>
  <c r="S67" i="6"/>
  <c r="R67" i="6"/>
  <c r="Q67" i="6"/>
  <c r="P67" i="6"/>
  <c r="O67" i="6"/>
  <c r="N67" i="6"/>
  <c r="M67" i="6"/>
  <c r="X66" i="6"/>
  <c r="W66" i="6"/>
  <c r="V66" i="6"/>
  <c r="U66" i="6"/>
  <c r="T66" i="6"/>
  <c r="S66" i="6"/>
  <c r="R66" i="6"/>
  <c r="Q66" i="6"/>
  <c r="P66" i="6"/>
  <c r="O66" i="6"/>
  <c r="N66" i="6"/>
  <c r="M66" i="6"/>
  <c r="X65" i="6"/>
  <c r="W65" i="6"/>
  <c r="V65" i="6"/>
  <c r="U65" i="6"/>
  <c r="T65" i="6"/>
  <c r="S65" i="6"/>
  <c r="R65" i="6"/>
  <c r="Q65" i="6"/>
  <c r="P65" i="6"/>
  <c r="O65" i="6"/>
  <c r="N65" i="6"/>
  <c r="M65" i="6"/>
  <c r="X64" i="6"/>
  <c r="W64" i="6"/>
  <c r="V64" i="6"/>
  <c r="U64" i="6"/>
  <c r="T64" i="6"/>
  <c r="S64" i="6"/>
  <c r="R64" i="6"/>
  <c r="Q64" i="6"/>
  <c r="P64" i="6"/>
  <c r="O64" i="6"/>
  <c r="N64" i="6"/>
  <c r="M64" i="6"/>
  <c r="X63" i="6"/>
  <c r="W63" i="6"/>
  <c r="V63" i="6"/>
  <c r="U63" i="6"/>
  <c r="T63" i="6"/>
  <c r="S63" i="6"/>
  <c r="R63" i="6"/>
  <c r="Q63" i="6"/>
  <c r="P63" i="6"/>
  <c r="O63" i="6"/>
  <c r="N63" i="6"/>
  <c r="M63" i="6"/>
  <c r="X60" i="6"/>
  <c r="W60" i="6"/>
  <c r="V60" i="6"/>
  <c r="U60" i="6"/>
  <c r="T60" i="6"/>
  <c r="S60" i="6"/>
  <c r="R60" i="6"/>
  <c r="Q60" i="6"/>
  <c r="P60" i="6"/>
  <c r="O60" i="6"/>
  <c r="N60" i="6"/>
  <c r="M60" i="6"/>
  <c r="X49" i="6"/>
  <c r="W49" i="6"/>
  <c r="V49" i="6"/>
  <c r="U49" i="6"/>
  <c r="T49" i="6"/>
  <c r="S49" i="6"/>
  <c r="R49" i="6"/>
  <c r="Q49" i="6"/>
  <c r="P49" i="6"/>
  <c r="O49" i="6"/>
  <c r="N49" i="6"/>
  <c r="M49" i="6"/>
  <c r="X38" i="6"/>
  <c r="X39" i="6" s="1"/>
  <c r="W38" i="6"/>
  <c r="W39" i="6" s="1"/>
  <c r="V38" i="6"/>
  <c r="V39" i="6" s="1"/>
  <c r="U38" i="6"/>
  <c r="U39" i="6" s="1"/>
  <c r="T38" i="6"/>
  <c r="T39" i="6" s="1"/>
  <c r="S38" i="6"/>
  <c r="S39" i="6" s="1"/>
  <c r="R38" i="6"/>
  <c r="R39" i="6" s="1"/>
  <c r="Q38" i="6"/>
  <c r="Q39" i="6" s="1"/>
  <c r="P38" i="6"/>
  <c r="P39" i="6" s="1"/>
  <c r="O38" i="6"/>
  <c r="O39" i="6" s="1"/>
  <c r="N38" i="6"/>
  <c r="N39" i="6" s="1"/>
  <c r="M38" i="6"/>
  <c r="M39" i="6" s="1"/>
  <c r="X31" i="6"/>
  <c r="W31" i="6"/>
  <c r="V31" i="6"/>
  <c r="U31" i="6"/>
  <c r="T31" i="6"/>
  <c r="S31" i="6"/>
  <c r="R31" i="6"/>
  <c r="Q31" i="6"/>
  <c r="P31" i="6"/>
  <c r="O31" i="6"/>
  <c r="N31" i="6"/>
  <c r="M31" i="6"/>
  <c r="L31" i="6"/>
  <c r="L48" i="6" s="1"/>
  <c r="K31" i="6"/>
  <c r="K48" i="6" s="1"/>
  <c r="J31" i="6"/>
  <c r="J48" i="6" s="1"/>
  <c r="I31" i="6"/>
  <c r="I48" i="6" s="1"/>
  <c r="H31" i="6"/>
  <c r="H48" i="6" s="1"/>
  <c r="G31" i="6"/>
  <c r="G48" i="6" s="1"/>
  <c r="F31" i="6"/>
  <c r="F48" i="6" s="1"/>
  <c r="E31" i="6"/>
  <c r="E48" i="6" s="1"/>
  <c r="D31" i="6"/>
  <c r="D48" i="6" s="1"/>
  <c r="C31" i="6"/>
  <c r="C48" i="6" s="1"/>
  <c r="X27" i="6"/>
  <c r="W27" i="6"/>
  <c r="V27" i="6"/>
  <c r="U27" i="6"/>
  <c r="T27" i="6"/>
  <c r="S27" i="6"/>
  <c r="R27" i="6"/>
  <c r="Q27" i="6"/>
  <c r="P27" i="6"/>
  <c r="O27" i="6"/>
  <c r="N27" i="6"/>
  <c r="M27" i="6"/>
  <c r="L27" i="6"/>
  <c r="L47" i="6" s="1"/>
  <c r="K27" i="6"/>
  <c r="K47" i="6" s="1"/>
  <c r="J27" i="6"/>
  <c r="J47" i="6" s="1"/>
  <c r="I27" i="6"/>
  <c r="I47" i="6" s="1"/>
  <c r="H27" i="6"/>
  <c r="H47" i="6" s="1"/>
  <c r="G27" i="6"/>
  <c r="G47" i="6" s="1"/>
  <c r="F27" i="6"/>
  <c r="F47" i="6" s="1"/>
  <c r="E27" i="6"/>
  <c r="E47" i="6" s="1"/>
  <c r="D27" i="6"/>
  <c r="D47" i="6" s="1"/>
  <c r="C27" i="6"/>
  <c r="C47" i="6" s="1"/>
  <c r="X23" i="6"/>
  <c r="W23" i="6"/>
  <c r="V23" i="6"/>
  <c r="U23" i="6"/>
  <c r="T23" i="6"/>
  <c r="S23" i="6"/>
  <c r="R23" i="6"/>
  <c r="Q23" i="6"/>
  <c r="P23" i="6"/>
  <c r="O23" i="6"/>
  <c r="N23" i="6"/>
  <c r="M23" i="6"/>
  <c r="X19" i="6"/>
  <c r="W19" i="6"/>
  <c r="V19" i="6"/>
  <c r="U19" i="6"/>
  <c r="T19" i="6"/>
  <c r="S19" i="6"/>
  <c r="R19" i="6"/>
  <c r="Q19" i="6"/>
  <c r="P19" i="6"/>
  <c r="O19" i="6"/>
  <c r="N19" i="6"/>
  <c r="M19" i="6"/>
  <c r="L19" i="6"/>
  <c r="L45" i="6" s="1"/>
  <c r="K19" i="6"/>
  <c r="K45" i="6" s="1"/>
  <c r="J19" i="6"/>
  <c r="J45" i="6" s="1"/>
  <c r="X15" i="6"/>
  <c r="W15" i="6"/>
  <c r="V15" i="6"/>
  <c r="U15" i="6"/>
  <c r="T15" i="6"/>
  <c r="S15" i="6"/>
  <c r="R15" i="6"/>
  <c r="Q15" i="6"/>
  <c r="P15" i="6"/>
  <c r="O15" i="6"/>
  <c r="N15" i="6"/>
  <c r="M15" i="6"/>
  <c r="L15" i="6"/>
  <c r="L44" i="6" s="1"/>
  <c r="K15" i="6"/>
  <c r="K44" i="6" s="1"/>
  <c r="J15" i="6"/>
  <c r="J44" i="6" s="1"/>
  <c r="I15" i="6"/>
  <c r="I44" i="6" s="1"/>
  <c r="H15" i="6"/>
  <c r="H44" i="6" s="1"/>
  <c r="G15" i="6"/>
  <c r="G44" i="6" s="1"/>
  <c r="F15" i="6"/>
  <c r="F44" i="6" s="1"/>
  <c r="E15" i="6"/>
  <c r="E44" i="6" s="1"/>
  <c r="D15" i="6"/>
  <c r="D44" i="6" s="1"/>
  <c r="C15" i="6"/>
  <c r="C44" i="6" s="1"/>
  <c r="X11" i="6"/>
  <c r="W11" i="6"/>
  <c r="V11" i="6"/>
  <c r="U11" i="6"/>
  <c r="T11" i="6"/>
  <c r="S11" i="6"/>
  <c r="R11" i="6"/>
  <c r="Q11" i="6"/>
  <c r="P11" i="6"/>
  <c r="O11" i="6"/>
  <c r="N11" i="6"/>
  <c r="M11" i="6"/>
  <c r="L11" i="6"/>
  <c r="L43" i="6" s="1"/>
  <c r="K11" i="6"/>
  <c r="K43" i="6" s="1"/>
  <c r="J11" i="6"/>
  <c r="J43" i="6" s="1"/>
  <c r="I11" i="6"/>
  <c r="I43" i="6" s="1"/>
  <c r="H11" i="6"/>
  <c r="H43" i="6" s="1"/>
  <c r="G11" i="6"/>
  <c r="G43" i="6" s="1"/>
  <c r="F11" i="6"/>
  <c r="F43" i="6" s="1"/>
  <c r="E11" i="6"/>
  <c r="E43" i="6" s="1"/>
  <c r="D11" i="6"/>
  <c r="D43" i="6" s="1"/>
  <c r="C11" i="6"/>
  <c r="C43" i="6" s="1"/>
  <c r="AM15" i="3"/>
  <c r="J49" i="6" l="1"/>
  <c r="I49" i="6"/>
  <c r="C49" i="6"/>
  <c r="D49" i="6"/>
  <c r="L49" i="6"/>
  <c r="G49" i="6"/>
  <c r="F49" i="6"/>
  <c r="H49" i="6"/>
  <c r="K49" i="6"/>
  <c r="E49" i="6"/>
  <c r="Z53" i="26" l="1"/>
  <c r="CS82" i="26" s="1"/>
  <c r="Y53" i="26"/>
  <c r="X53" i="26"/>
  <c r="W53" i="26"/>
  <c r="V53" i="26"/>
  <c r="U53" i="26"/>
  <c r="T53" i="26"/>
  <c r="S53" i="26"/>
  <c r="R53" i="26"/>
  <c r="Q53" i="26"/>
  <c r="P53" i="26"/>
  <c r="O53" i="26"/>
  <c r="O54" i="26" s="1"/>
  <c r="N53" i="26"/>
  <c r="N54" i="26" s="1"/>
  <c r="M53" i="26"/>
  <c r="M54" i="26" s="1"/>
  <c r="L53" i="26"/>
  <c r="L54" i="26" s="1"/>
  <c r="K53" i="26"/>
  <c r="K54" i="26" s="1"/>
  <c r="J53" i="26"/>
  <c r="J54" i="26" s="1"/>
  <c r="I53" i="26"/>
  <c r="I54" i="26" s="1"/>
  <c r="H53" i="26"/>
  <c r="H54" i="26" s="1"/>
  <c r="G53" i="26"/>
  <c r="G54" i="26" s="1"/>
  <c r="F53" i="26"/>
  <c r="F54" i="26" s="1"/>
  <c r="E53" i="26"/>
  <c r="E54" i="26" s="1"/>
  <c r="D53" i="26"/>
  <c r="D54" i="26" s="1"/>
  <c r="Z51" i="26"/>
  <c r="CE82" i="26" s="1"/>
  <c r="Y51" i="26"/>
  <c r="X51" i="26"/>
  <c r="W51" i="26"/>
  <c r="V51" i="26"/>
  <c r="U51" i="26"/>
  <c r="T51" i="26"/>
  <c r="S51" i="26"/>
  <c r="R51" i="26"/>
  <c r="Q51" i="26"/>
  <c r="P51" i="26"/>
  <c r="O51" i="26"/>
  <c r="O52" i="26" s="1"/>
  <c r="N51" i="26"/>
  <c r="N52" i="26" s="1"/>
  <c r="M51" i="26"/>
  <c r="M52" i="26" s="1"/>
  <c r="L51" i="26"/>
  <c r="L52" i="26" s="1"/>
  <c r="K51" i="26"/>
  <c r="K52" i="26" s="1"/>
  <c r="J51" i="26"/>
  <c r="J52" i="26" s="1"/>
  <c r="I51" i="26"/>
  <c r="I52" i="26" s="1"/>
  <c r="H51" i="26"/>
  <c r="H52" i="26" s="1"/>
  <c r="G51" i="26"/>
  <c r="G52" i="26" s="1"/>
  <c r="F51" i="26"/>
  <c r="F52" i="26" s="1"/>
  <c r="E51" i="26"/>
  <c r="E52" i="26" s="1"/>
  <c r="D51" i="26"/>
  <c r="D52" i="26" s="1"/>
  <c r="Z49" i="26"/>
  <c r="Y49" i="26"/>
  <c r="X49" i="26"/>
  <c r="W49" i="26"/>
  <c r="V49" i="26"/>
  <c r="U49" i="26"/>
  <c r="T49" i="26"/>
  <c r="S49" i="26"/>
  <c r="R49" i="26"/>
  <c r="Q49" i="26"/>
  <c r="P49" i="26"/>
  <c r="O49" i="26"/>
  <c r="O50" i="26" s="1"/>
  <c r="N49" i="26"/>
  <c r="N50" i="26" s="1"/>
  <c r="M49" i="26"/>
  <c r="M50" i="26" s="1"/>
  <c r="L49" i="26"/>
  <c r="L50" i="26" s="1"/>
  <c r="K49" i="26"/>
  <c r="K50" i="26" s="1"/>
  <c r="J49" i="26"/>
  <c r="J50" i="26" s="1"/>
  <c r="I49" i="26"/>
  <c r="I50" i="26" s="1"/>
  <c r="H49" i="26"/>
  <c r="H50" i="26" s="1"/>
  <c r="G49" i="26"/>
  <c r="G50" i="26" s="1"/>
  <c r="F49" i="26"/>
  <c r="F50" i="26" s="1"/>
  <c r="E49" i="26"/>
  <c r="E50" i="26" s="1"/>
  <c r="D49" i="26"/>
  <c r="D50" i="26" s="1"/>
  <c r="Z47" i="26"/>
  <c r="Y47" i="26"/>
  <c r="X47" i="26"/>
  <c r="W47" i="26"/>
  <c r="V47" i="26"/>
  <c r="U47" i="26"/>
  <c r="T47" i="26"/>
  <c r="S47" i="26"/>
  <c r="R47" i="26"/>
  <c r="Q47" i="26"/>
  <c r="P47" i="26"/>
  <c r="O47" i="26"/>
  <c r="O48" i="26" s="1"/>
  <c r="N47" i="26"/>
  <c r="N48" i="26" s="1"/>
  <c r="M47" i="26"/>
  <c r="M48" i="26" s="1"/>
  <c r="L47" i="26"/>
  <c r="L48" i="26" s="1"/>
  <c r="K47" i="26"/>
  <c r="K48" i="26" s="1"/>
  <c r="J47" i="26"/>
  <c r="J48" i="26" s="1"/>
  <c r="I47" i="26"/>
  <c r="I48" i="26" s="1"/>
  <c r="H47" i="26"/>
  <c r="H48" i="26" s="1"/>
  <c r="G47" i="26"/>
  <c r="G48" i="26" s="1"/>
  <c r="F47" i="26"/>
  <c r="F48" i="26" s="1"/>
  <c r="E47" i="26"/>
  <c r="E48" i="26" s="1"/>
  <c r="D47" i="26"/>
  <c r="D48" i="26" s="1"/>
  <c r="Z45" i="26"/>
  <c r="Y45" i="26"/>
  <c r="X45" i="26"/>
  <c r="W45" i="26"/>
  <c r="V45" i="26"/>
  <c r="U45" i="26"/>
  <c r="T45" i="26"/>
  <c r="S45" i="26"/>
  <c r="R45" i="26"/>
  <c r="Q45" i="26"/>
  <c r="P45" i="26"/>
  <c r="O45" i="26"/>
  <c r="O46" i="26" s="1"/>
  <c r="N45" i="26"/>
  <c r="N46" i="26" s="1"/>
  <c r="M45" i="26"/>
  <c r="M46" i="26" s="1"/>
  <c r="L45" i="26"/>
  <c r="L46" i="26" s="1"/>
  <c r="K45" i="26"/>
  <c r="K46" i="26" s="1"/>
  <c r="J45" i="26"/>
  <c r="J46" i="26" s="1"/>
  <c r="I45" i="26"/>
  <c r="I46" i="26" s="1"/>
  <c r="H45" i="26"/>
  <c r="H46" i="26" s="1"/>
  <c r="G45" i="26"/>
  <c r="G46" i="26" s="1"/>
  <c r="F45" i="26"/>
  <c r="F46" i="26" s="1"/>
  <c r="E45" i="26"/>
  <c r="E46" i="26" s="1"/>
  <c r="D45" i="26"/>
  <c r="D46" i="26" s="1"/>
  <c r="C53" i="26"/>
  <c r="C54" i="26" s="1"/>
  <c r="C51" i="26"/>
  <c r="C52" i="26" s="1"/>
  <c r="C49" i="26"/>
  <c r="C50" i="26" s="1"/>
  <c r="C47" i="26"/>
  <c r="C48" i="26" s="1"/>
  <c r="C45" i="26"/>
  <c r="C46" i="26" s="1"/>
  <c r="Z44" i="26"/>
  <c r="Y44" i="26"/>
  <c r="X44" i="26"/>
  <c r="W44" i="26"/>
  <c r="V44" i="26"/>
  <c r="U44" i="26"/>
  <c r="T44" i="26"/>
  <c r="S44" i="26"/>
  <c r="R44" i="26"/>
  <c r="Q44" i="26"/>
  <c r="P44" i="26"/>
  <c r="O44" i="26"/>
  <c r="N44" i="26"/>
  <c r="M44" i="26"/>
  <c r="L44" i="26"/>
  <c r="K44" i="26"/>
  <c r="J44" i="26"/>
  <c r="I44" i="26"/>
  <c r="H44" i="26"/>
  <c r="G44" i="26"/>
  <c r="F44" i="26"/>
  <c r="E44" i="26"/>
  <c r="D44" i="26"/>
  <c r="C44" i="26"/>
  <c r="BP145" i="26"/>
  <c r="BO145" i="26"/>
  <c r="BB145" i="26"/>
  <c r="BA145" i="26"/>
  <c r="AM145" i="26"/>
  <c r="Z41" i="26"/>
  <c r="Z34" i="26"/>
  <c r="Z177" i="20"/>
  <c r="Z179" i="20" s="1"/>
  <c r="AA177" i="20"/>
  <c r="AA179" i="20" s="1"/>
  <c r="AA188" i="20"/>
  <c r="AA14" i="20"/>
  <c r="Z188" i="20"/>
  <c r="Y188" i="20"/>
  <c r="X188" i="20"/>
  <c r="Y179" i="20"/>
  <c r="X179" i="20"/>
  <c r="Z14" i="20"/>
  <c r="L136" i="26" l="1"/>
  <c r="AM144" i="26" s="1"/>
  <c r="L134" i="26"/>
  <c r="AM142" i="26" s="1"/>
  <c r="L132" i="26"/>
  <c r="AM140" i="26" s="1"/>
  <c r="L135" i="26"/>
  <c r="AM143" i="26" s="1"/>
  <c r="L133" i="26"/>
  <c r="L148" i="26"/>
  <c r="BO144" i="26" s="1"/>
  <c r="L146" i="26"/>
  <c r="BO142" i="26" s="1"/>
  <c r="L144" i="26"/>
  <c r="L147" i="26"/>
  <c r="BO143" i="26" s="1"/>
  <c r="L145" i="26"/>
  <c r="BO141" i="26" s="1"/>
  <c r="L141" i="26"/>
  <c r="BA143" i="26" s="1"/>
  <c r="L139" i="26"/>
  <c r="L142" i="26"/>
  <c r="BA144" i="26" s="1"/>
  <c r="L140" i="26"/>
  <c r="BA142" i="26" s="1"/>
  <c r="L138" i="26"/>
  <c r="BA140" i="26" s="1"/>
  <c r="M148" i="26"/>
  <c r="BP144" i="26" s="1"/>
  <c r="M146" i="26"/>
  <c r="BP142" i="26" s="1"/>
  <c r="M144" i="26"/>
  <c r="M147" i="26"/>
  <c r="BP143" i="26" s="1"/>
  <c r="M145" i="26"/>
  <c r="BP141" i="26" s="1"/>
  <c r="L160" i="26"/>
  <c r="CQ144" i="26" s="1"/>
  <c r="L158" i="26"/>
  <c r="CQ142" i="26" s="1"/>
  <c r="L156" i="26"/>
  <c r="CQ140" i="26" s="1"/>
  <c r="L157" i="26"/>
  <c r="L159" i="26"/>
  <c r="CQ143" i="26" s="1"/>
  <c r="M160" i="26"/>
  <c r="CR144" i="26" s="1"/>
  <c r="M158" i="26"/>
  <c r="CR142" i="26" s="1"/>
  <c r="M156" i="26"/>
  <c r="CR140" i="26" s="1"/>
  <c r="M159" i="26"/>
  <c r="CR143" i="26" s="1"/>
  <c r="M157" i="26"/>
  <c r="M141" i="26"/>
  <c r="BB143" i="26" s="1"/>
  <c r="M139" i="26"/>
  <c r="BB141" i="26" s="1"/>
  <c r="M142" i="26"/>
  <c r="BB144" i="26" s="1"/>
  <c r="M140" i="26"/>
  <c r="BB142" i="26" s="1"/>
  <c r="M138" i="26"/>
  <c r="L153" i="26"/>
  <c r="CC143" i="26" s="1"/>
  <c r="L152" i="26"/>
  <c r="CC142" i="26" s="1"/>
  <c r="L151" i="26"/>
  <c r="CC141" i="26" s="1"/>
  <c r="L154" i="26"/>
  <c r="CC144" i="26" s="1"/>
  <c r="L150" i="26"/>
  <c r="M152" i="26"/>
  <c r="CD142" i="26" s="1"/>
  <c r="M151" i="26"/>
  <c r="CD141" i="26" s="1"/>
  <c r="M153" i="26"/>
  <c r="CD143" i="26" s="1"/>
  <c r="M154" i="26"/>
  <c r="CD144" i="26" s="1"/>
  <c r="M150" i="26"/>
  <c r="CS93" i="26"/>
  <c r="CS92" i="26"/>
  <c r="CS90" i="26"/>
  <c r="CS88" i="26"/>
  <c r="CS91" i="26"/>
  <c r="CS89" i="26"/>
  <c r="W46" i="26"/>
  <c r="AL83" i="26" s="1"/>
  <c r="AL82" i="26"/>
  <c r="P48" i="26"/>
  <c r="AS83" i="26" s="1"/>
  <c r="AS82" i="26"/>
  <c r="X48" i="26"/>
  <c r="BA83" i="26" s="1"/>
  <c r="BA82" i="26"/>
  <c r="Q50" i="26"/>
  <c r="BH83" i="26" s="1"/>
  <c r="BH82" i="26"/>
  <c r="Y50" i="26"/>
  <c r="BP83" i="26" s="1"/>
  <c r="BP82" i="26"/>
  <c r="R52" i="26"/>
  <c r="BW83" i="26" s="1"/>
  <c r="BW82" i="26"/>
  <c r="S54" i="26"/>
  <c r="CL83" i="26" s="1"/>
  <c r="CL82" i="26"/>
  <c r="X46" i="26"/>
  <c r="AM83" i="26" s="1"/>
  <c r="AM82" i="26"/>
  <c r="Q48" i="26"/>
  <c r="AT83" i="26" s="1"/>
  <c r="AT82" i="26"/>
  <c r="Y48" i="26"/>
  <c r="BB83" i="26" s="1"/>
  <c r="BB82" i="26"/>
  <c r="R50" i="26"/>
  <c r="BI83" i="26" s="1"/>
  <c r="BI82" i="26"/>
  <c r="Z50" i="26"/>
  <c r="BQ83" i="26" s="1"/>
  <c r="BQ82" i="26"/>
  <c r="S52" i="26"/>
  <c r="BX83" i="26" s="1"/>
  <c r="BX82" i="26"/>
  <c r="T54" i="26"/>
  <c r="CM83" i="26" s="1"/>
  <c r="CM82" i="26"/>
  <c r="P46" i="26"/>
  <c r="AE83" i="26" s="1"/>
  <c r="AE82" i="26"/>
  <c r="Q46" i="26"/>
  <c r="AF83" i="26" s="1"/>
  <c r="AF82" i="26"/>
  <c r="Y46" i="26"/>
  <c r="AN83" i="26" s="1"/>
  <c r="AN82" i="26"/>
  <c r="R48" i="26"/>
  <c r="AU83" i="26" s="1"/>
  <c r="AU82" i="26"/>
  <c r="Z48" i="26"/>
  <c r="BC83" i="26" s="1"/>
  <c r="BC82" i="26"/>
  <c r="S50" i="26"/>
  <c r="BJ83" i="26" s="1"/>
  <c r="BJ82" i="26"/>
  <c r="T52" i="26"/>
  <c r="BY83" i="26" s="1"/>
  <c r="BY82" i="26"/>
  <c r="U54" i="26"/>
  <c r="CN83" i="26" s="1"/>
  <c r="CN82" i="26"/>
  <c r="R46" i="26"/>
  <c r="AG83" i="26" s="1"/>
  <c r="AG82" i="26"/>
  <c r="Z46" i="26"/>
  <c r="AO83" i="26" s="1"/>
  <c r="AO82" i="26"/>
  <c r="AO84" i="26" s="1"/>
  <c r="S48" i="26"/>
  <c r="AV83" i="26" s="1"/>
  <c r="AV82" i="26"/>
  <c r="T50" i="26"/>
  <c r="BK83" i="26" s="1"/>
  <c r="BK82" i="26"/>
  <c r="U52" i="26"/>
  <c r="BZ83" i="26" s="1"/>
  <c r="BZ82" i="26"/>
  <c r="V54" i="26"/>
  <c r="CO83" i="26" s="1"/>
  <c r="CO82" i="26"/>
  <c r="S46" i="26"/>
  <c r="AH83" i="26" s="1"/>
  <c r="AH82" i="26"/>
  <c r="T48" i="26"/>
  <c r="AW83" i="26" s="1"/>
  <c r="AW82" i="26"/>
  <c r="U50" i="26"/>
  <c r="BL83" i="26" s="1"/>
  <c r="BL82" i="26"/>
  <c r="V52" i="26"/>
  <c r="CA83" i="26" s="1"/>
  <c r="CA82" i="26"/>
  <c r="W54" i="26"/>
  <c r="CP83" i="26" s="1"/>
  <c r="CP82" i="26"/>
  <c r="T46" i="26"/>
  <c r="AI83" i="26" s="1"/>
  <c r="AI82" i="26"/>
  <c r="U48" i="26"/>
  <c r="AX83" i="26" s="1"/>
  <c r="AX82" i="26"/>
  <c r="V50" i="26"/>
  <c r="BM83" i="26" s="1"/>
  <c r="BM82" i="26"/>
  <c r="W52" i="26"/>
  <c r="CB83" i="26" s="1"/>
  <c r="CB82" i="26"/>
  <c r="P54" i="26"/>
  <c r="CI83" i="26" s="1"/>
  <c r="CI82" i="26"/>
  <c r="X54" i="26"/>
  <c r="CQ83" i="26" s="1"/>
  <c r="CQ82" i="26"/>
  <c r="U46" i="26"/>
  <c r="AJ83" i="26" s="1"/>
  <c r="AJ82" i="26"/>
  <c r="V48" i="26"/>
  <c r="AY83" i="26" s="1"/>
  <c r="AY82" i="26"/>
  <c r="W50" i="26"/>
  <c r="BN83" i="26" s="1"/>
  <c r="BN82" i="26"/>
  <c r="P52" i="26"/>
  <c r="BU83" i="26" s="1"/>
  <c r="BU82" i="26"/>
  <c r="X52" i="26"/>
  <c r="CC83" i="26" s="1"/>
  <c r="CC82" i="26"/>
  <c r="Q54" i="26"/>
  <c r="CJ83" i="26" s="1"/>
  <c r="CJ82" i="26"/>
  <c r="Y54" i="26"/>
  <c r="CR83" i="26" s="1"/>
  <c r="CR82" i="26"/>
  <c r="CE91" i="26"/>
  <c r="CE89" i="26"/>
  <c r="CE92" i="26"/>
  <c r="CE90" i="26"/>
  <c r="CE88" i="26"/>
  <c r="CE93" i="26"/>
  <c r="V46" i="26"/>
  <c r="AK83" i="26" s="1"/>
  <c r="AK82" i="26"/>
  <c r="W48" i="26"/>
  <c r="AZ83" i="26" s="1"/>
  <c r="AZ82" i="26"/>
  <c r="P50" i="26"/>
  <c r="BG83" i="26" s="1"/>
  <c r="BG82" i="26"/>
  <c r="X50" i="26"/>
  <c r="BO83" i="26" s="1"/>
  <c r="BO82" i="26"/>
  <c r="Q52" i="26"/>
  <c r="BV83" i="26" s="1"/>
  <c r="BV82" i="26"/>
  <c r="Y52" i="26"/>
  <c r="CD83" i="26" s="1"/>
  <c r="CD82" i="26"/>
  <c r="R54" i="26"/>
  <c r="CK83" i="26" s="1"/>
  <c r="CK82" i="26"/>
  <c r="N155" i="26"/>
  <c r="Z52" i="26"/>
  <c r="CE83" i="26" s="1"/>
  <c r="CE84" i="26" s="1"/>
  <c r="Z54" i="26"/>
  <c r="CS83" i="26" s="1"/>
  <c r="CS84" i="26" s="1"/>
  <c r="CC84" i="26" l="1"/>
  <c r="BG84" i="26"/>
  <c r="CK84" i="26"/>
  <c r="CA84" i="26"/>
  <c r="AJ84" i="26"/>
  <c r="CO84" i="26"/>
  <c r="BM84" i="26"/>
  <c r="M161" i="26"/>
  <c r="CR141" i="26"/>
  <c r="M155" i="26"/>
  <c r="CD140" i="26"/>
  <c r="L137" i="26"/>
  <c r="AM141" i="26"/>
  <c r="L149" i="26"/>
  <c r="BO140" i="26"/>
  <c r="L143" i="26"/>
  <c r="BA141" i="26"/>
  <c r="M149" i="26"/>
  <c r="BP140" i="26"/>
  <c r="CC140" i="26"/>
  <c r="L155" i="26"/>
  <c r="L161" i="26"/>
  <c r="CQ141" i="26"/>
  <c r="M143" i="26"/>
  <c r="BB140" i="26"/>
  <c r="AF84" i="26"/>
  <c r="AM84" i="26"/>
  <c r="CN84" i="26"/>
  <c r="AU84" i="26"/>
  <c r="BW84" i="26"/>
  <c r="AS84" i="26"/>
  <c r="CD84" i="26"/>
  <c r="AZ84" i="26"/>
  <c r="BU84" i="26"/>
  <c r="CQ84" i="26"/>
  <c r="AX84" i="26"/>
  <c r="BL84" i="26"/>
  <c r="BZ84" i="26"/>
  <c r="AG84" i="26"/>
  <c r="BA84" i="26"/>
  <c r="BV84" i="26"/>
  <c r="AV84" i="26"/>
  <c r="AT84" i="26"/>
  <c r="BP84" i="26"/>
  <c r="BI84" i="26"/>
  <c r="BK84" i="26"/>
  <c r="AL84" i="26"/>
  <c r="BJ84" i="26"/>
  <c r="BQ84" i="26"/>
  <c r="BC84" i="26"/>
  <c r="AE84" i="26"/>
  <c r="BH84" i="26"/>
  <c r="CL84" i="26"/>
  <c r="AK84" i="26"/>
  <c r="CR84" i="26"/>
  <c r="BN84" i="26"/>
  <c r="CI84" i="26"/>
  <c r="AI84" i="26"/>
  <c r="AW84" i="26"/>
  <c r="CM84" i="26"/>
  <c r="BB84" i="26"/>
  <c r="BO84" i="26"/>
  <c r="CJ84" i="26"/>
  <c r="AY84" i="26"/>
  <c r="CB84" i="26"/>
  <c r="CP84" i="26"/>
  <c r="AH84" i="26"/>
  <c r="BY84" i="26"/>
  <c r="AN84" i="26"/>
  <c r="BX84" i="26"/>
  <c r="I14" i="27" l="1"/>
  <c r="I18" i="27" s="1"/>
  <c r="H14" i="27"/>
  <c r="H18" i="27" s="1"/>
  <c r="H21" i="27" l="1"/>
  <c r="I19" i="27"/>
  <c r="I20" i="27"/>
  <c r="I22" i="27"/>
  <c r="I23" i="27"/>
  <c r="H20" i="27"/>
  <c r="I21" i="27"/>
  <c r="K14" i="27"/>
  <c r="K20" i="27" s="1"/>
  <c r="H19" i="27"/>
  <c r="H22" i="27"/>
  <c r="H23" i="27"/>
  <c r="J14" i="27"/>
  <c r="G14" i="27"/>
  <c r="G18" i="27" s="1"/>
  <c r="K21" i="27" l="1"/>
  <c r="K23" i="27"/>
  <c r="K19" i="27"/>
  <c r="K22" i="27"/>
  <c r="K18" i="27"/>
  <c r="J22" i="27"/>
  <c r="J19" i="27"/>
  <c r="J20" i="27"/>
  <c r="J21" i="27"/>
  <c r="J18" i="27"/>
  <c r="G23" i="27"/>
  <c r="G20" i="27"/>
  <c r="G21" i="27"/>
  <c r="G19" i="27"/>
  <c r="G22" i="27"/>
  <c r="J23"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<sst xmlns="http://schemas.openxmlformats.org/spreadsheetml/2006/main" count="5851" uniqueCount="501">
  <si>
    <t xml:space="preserve">Extended Data and Graphs </t>
  </si>
  <si>
    <t xml:space="preserve">Fig. 2.1   Patents in Force </t>
  </si>
  <si>
    <t xml:space="preserve">Fig. 3.1   Worldwide patent filings - filing procedures </t>
  </si>
  <si>
    <t>Fig. 3.2   Worldwide patent filings - origin</t>
  </si>
  <si>
    <t>Fig. 3.3   Worldwide patent filings - percentage filed at home</t>
  </si>
  <si>
    <t>Fig. 3.4   Worldwide patent first filings - origin</t>
  </si>
  <si>
    <t>Fig. 3.5   Worldwide patent applications - filing procedures</t>
  </si>
  <si>
    <t>Fig. 3.6   Worldwide patent applications - origin</t>
  </si>
  <si>
    <t>Fig. 3.7   Worldwide patent applications - filing bloc</t>
  </si>
  <si>
    <t>Fig. 3.8   Worldwide demand for patent rights - procedures</t>
  </si>
  <si>
    <t>Fig. 3.9   Worldwide demand for patent rights - origin</t>
  </si>
  <si>
    <t xml:space="preserve">Fig. 3.10 Worldwide demand for patent rights - filing bloc  </t>
  </si>
  <si>
    <t>Additional data: Patent families tables</t>
  </si>
  <si>
    <t>Fig. 4.1   Applications filed - domestics and foreign origin</t>
  </si>
  <si>
    <t>Fig. 4.2   Applications filed - origin distribution</t>
  </si>
  <si>
    <t>Fig. 4.3   Applications filed - sector of technology</t>
  </si>
  <si>
    <t>Fig. 4.5   Patents granted - domestic and foreign origin</t>
  </si>
  <si>
    <t>Fig. 4.6   Patents granted - origin distribution</t>
  </si>
  <si>
    <t>Fig. 5.1   Proportions of applications filed via the PCT - origin</t>
  </si>
  <si>
    <t>Fig. 5.2   Proportions of PCT applications entering the national/regional phase</t>
  </si>
  <si>
    <t>Fig. 5.3   Proportions of PCT applications in the grant procedure</t>
  </si>
  <si>
    <t>Fig. 5.4   Proportions of PCT in the patents granted</t>
  </si>
  <si>
    <t>Fig. 5.6   Proportions of PCT - IP5 patent families per origin</t>
  </si>
  <si>
    <t>Fig. 5.7   PCT activity - receiving offices</t>
  </si>
  <si>
    <t>Fig. 5.8   PCT activity - international searching authorities</t>
  </si>
  <si>
    <t>Fig. 5.9   PCT activity - international preliminary examination authorities</t>
  </si>
  <si>
    <t xml:space="preserve">Extended Data </t>
  </si>
  <si>
    <t>Budget</t>
  </si>
  <si>
    <t>Staff</t>
  </si>
  <si>
    <t>Production figures</t>
  </si>
  <si>
    <t>Statistics on procedures</t>
  </si>
  <si>
    <t>Other work</t>
  </si>
  <si>
    <t>IP5 Statistics</t>
  </si>
  <si>
    <t>Other Work of the IP5 Offices</t>
  </si>
  <si>
    <t>Office</t>
  </si>
  <si>
    <t>Activity</t>
  </si>
  <si>
    <t>EPO</t>
  </si>
  <si>
    <t xml:space="preserve">Search for national offices </t>
  </si>
  <si>
    <t>JPO</t>
  </si>
  <si>
    <t>Design patent</t>
  </si>
  <si>
    <t>Utility model patent</t>
  </si>
  <si>
    <t>Trademark</t>
  </si>
  <si>
    <t>KIPO</t>
  </si>
  <si>
    <t>CNIPA</t>
  </si>
  <si>
    <t>USPTO</t>
  </si>
  <si>
    <t>Plant</t>
  </si>
  <si>
    <t>Re-issue</t>
  </si>
  <si>
    <t>Provisional applications</t>
    <phoneticPr fontId="40" type="noConversion"/>
  </si>
  <si>
    <t>IP5 Patent Statistics</t>
  </si>
  <si>
    <t>PCT Activities of the IP5 Offices</t>
  </si>
  <si>
    <t>Five Offices</t>
  </si>
  <si>
    <t>Others</t>
  </si>
  <si>
    <t>Total</t>
  </si>
  <si>
    <t>Origin</t>
  </si>
  <si>
    <t>Fig. 5.9</t>
  </si>
  <si>
    <t>EPC states</t>
  </si>
  <si>
    <t>Japan</t>
  </si>
  <si>
    <t>R. Korea</t>
  </si>
  <si>
    <t>P.R. China</t>
  </si>
  <si>
    <t>U.S.</t>
  </si>
  <si>
    <t>All</t>
  </si>
  <si>
    <t>Fig. 5.6</t>
  </si>
  <si>
    <t>Statistics on the Procedures</t>
  </si>
  <si>
    <t>Item</t>
  </si>
  <si>
    <t>examination rate</t>
  </si>
  <si>
    <t>grant rate</t>
  </si>
  <si>
    <t xml:space="preserve"> -</t>
  </si>
  <si>
    <t>opposition rate</t>
  </si>
  <si>
    <t>-</t>
  </si>
  <si>
    <t xml:space="preserve"> -  </t>
  </si>
  <si>
    <t>n.a.</t>
  </si>
  <si>
    <t>appeal rate on</t>
  </si>
  <si>
    <t>examinations</t>
  </si>
  <si>
    <t>pending applications</t>
  </si>
  <si>
    <t>in search</t>
  </si>
  <si>
    <t>pendency search in</t>
  </si>
  <si>
    <t>months</t>
  </si>
  <si>
    <t>applications awaiting</t>
  </si>
  <si>
    <t>request for</t>
  </si>
  <si>
    <t>examination</t>
  </si>
  <si>
    <t>in examination</t>
  </si>
  <si>
    <t>pendency first office</t>
  </si>
  <si>
    <t>pendency</t>
  </si>
  <si>
    <t>final actions in</t>
  </si>
  <si>
    <t>in opposition</t>
  </si>
  <si>
    <t>pendency opposition</t>
  </si>
  <si>
    <t>20.4</t>
  </si>
  <si>
    <t>in months</t>
  </si>
  <si>
    <t>pendency time in</t>
  </si>
  <si>
    <t>invalidation in months</t>
  </si>
  <si>
    <r>
      <rPr>
        <i/>
        <vertAlign val="superscript"/>
        <sz val="10"/>
        <rFont val="Arial"/>
        <family val="2"/>
      </rPr>
      <t>3</t>
    </r>
    <r>
      <rPr>
        <i/>
        <sz val="10"/>
        <rFont val="Arial"/>
        <family val="2"/>
      </rPr>
      <t xml:space="preserve"> For the KIPO, only the unexamined patent applications with a request for examination filed have been counted. In the previous reports, the figure of this category included the entire unexamined patent applications. </t>
    </r>
  </si>
  <si>
    <t xml:space="preserve">  For the EPO, the slight increase reflects prioritisation of search work and subsequent reduction in search backlog.</t>
  </si>
  <si>
    <r>
      <rPr>
        <i/>
        <vertAlign val="superscript"/>
        <sz val="10"/>
        <rFont val="Arial"/>
        <family val="2"/>
      </rPr>
      <t>4</t>
    </r>
    <r>
      <rPr>
        <i/>
        <sz val="10"/>
        <rFont val="Arial"/>
        <family val="2"/>
      </rPr>
      <t xml:space="preserve"> For the EPO, the first office action is the extended European search report that includes a written opinion on patentability, or in the case of a PCT without supplementary search, the international search report with a written opinion. This new approach was adopted in 2015.  Pendency is measured by the median delay. As from 2018, pendency is measured by the mean average delay. </t>
    </r>
  </si>
  <si>
    <r>
      <rPr>
        <i/>
        <vertAlign val="superscript"/>
        <sz val="10"/>
        <rFont val="Arial"/>
        <family val="2"/>
      </rPr>
      <t>5</t>
    </r>
    <r>
      <rPr>
        <i/>
        <sz val="10"/>
        <rFont val="Arial"/>
        <family val="2"/>
      </rPr>
      <t xml:space="preserve"> The pendency in examination is calculated from the date at which the file was allocated for examination.  Pendency is measured by the median delay. As from 2018, pendency is measured by the mean average delay. </t>
    </r>
  </si>
  <si>
    <t xml:space="preserve">  (EPO, usually 6 months after the first action), the date of the request for examination (JPO, KIPO), the date on which the application enters the substantive examination phase (SIPO), and the filing date (USPTO). See Annex 2. </t>
  </si>
  <si>
    <t xml:space="preserve">  For the JPO, the pendency time is the number of months in FY until 2017 and in CY from 2018; and excludes some cases where the JPO requests an applicant to respond to the second notification of reasons for refusal; </t>
    <phoneticPr fontId="40" type="noConversion"/>
  </si>
  <si>
    <t xml:space="preserve">  and where the applicant performs procedures they are allowed to use, such as requests for extension of the period of response and for an accelerated examination.</t>
  </si>
  <si>
    <r>
      <t>examination rate</t>
    </r>
    <r>
      <rPr>
        <vertAlign val="superscript"/>
        <sz val="10"/>
        <rFont val="Arial"/>
        <family val="2"/>
      </rPr>
      <t>1</t>
    </r>
  </si>
  <si>
    <r>
      <t>grant rate</t>
    </r>
    <r>
      <rPr>
        <vertAlign val="superscript"/>
        <sz val="10"/>
        <rFont val="Arial"/>
        <family val="2"/>
      </rPr>
      <t>2</t>
    </r>
  </si>
  <si>
    <r>
      <t>examination</t>
    </r>
    <r>
      <rPr>
        <vertAlign val="superscript"/>
        <sz val="10"/>
        <rFont val="Arial"/>
        <family val="2"/>
      </rPr>
      <t>3</t>
    </r>
  </si>
  <si>
    <r>
      <t>in examination</t>
    </r>
    <r>
      <rPr>
        <vertAlign val="superscript"/>
        <sz val="10"/>
        <rFont val="Arial"/>
        <family val="2"/>
      </rPr>
      <t>3</t>
    </r>
  </si>
  <si>
    <r>
      <t>action in months</t>
    </r>
    <r>
      <rPr>
        <vertAlign val="superscript"/>
        <sz val="10"/>
        <rFont val="Arial"/>
        <family val="2"/>
      </rPr>
      <t>4</t>
    </r>
  </si>
  <si>
    <r>
      <t>action in months</t>
    </r>
    <r>
      <rPr>
        <vertAlign val="superscript"/>
        <sz val="10"/>
        <rFont val="Arial"/>
        <family val="2"/>
      </rPr>
      <t>3</t>
    </r>
  </si>
  <si>
    <r>
      <t>months</t>
    </r>
    <r>
      <rPr>
        <vertAlign val="superscript"/>
        <sz val="10"/>
        <rFont val="Arial"/>
        <family val="2"/>
      </rPr>
      <t>5</t>
    </r>
  </si>
  <si>
    <t>Maintenance of Patents Granted by the IP5 Offices</t>
  </si>
  <si>
    <t>Figures indicate the proportion of patents maintained at the end of each patent year measured from the filing date</t>
  </si>
  <si>
    <t>Patent Year</t>
  </si>
  <si>
    <t>Notes:</t>
  </si>
  <si>
    <r>
      <t>EPO</t>
    </r>
    <r>
      <rPr>
        <b/>
        <vertAlign val="superscript"/>
        <sz val="14"/>
        <rFont val="Arial"/>
        <family val="2"/>
      </rPr>
      <t>1</t>
    </r>
  </si>
  <si>
    <t>Fig. 4.6</t>
  </si>
  <si>
    <t>Fig. 4.5</t>
  </si>
  <si>
    <t>Domestic</t>
  </si>
  <si>
    <t>Foreign</t>
  </si>
  <si>
    <t>Fig. 4.9</t>
    <phoneticPr fontId="40" type="noConversion"/>
  </si>
  <si>
    <t>Category</t>
  </si>
  <si>
    <t>2 to 5</t>
  </si>
  <si>
    <t>6 to 10</t>
  </si>
  <si>
    <t>11 to 50</t>
  </si>
  <si>
    <t>51 and more</t>
  </si>
  <si>
    <t>Granted Patents by the IP5 Offices by Bloc of Origin</t>
  </si>
  <si>
    <t>Bloc of Origin</t>
  </si>
  <si>
    <t>R.Korea</t>
  </si>
  <si>
    <t>China</t>
  </si>
  <si>
    <t>The IP5 Offices</t>
  </si>
  <si>
    <t>Region</t>
  </si>
  <si>
    <t>Number</t>
  </si>
  <si>
    <t>Share</t>
  </si>
  <si>
    <t>EPC States</t>
  </si>
  <si>
    <t>IP5 Offices General information</t>
  </si>
  <si>
    <t>EPO *</t>
  </si>
  <si>
    <t>(mil EURO)</t>
  </si>
  <si>
    <t>(mil Yen)</t>
  </si>
  <si>
    <t>(mil Won)</t>
  </si>
  <si>
    <t>(mil Yuan)</t>
  </si>
  <si>
    <t>(mil US$)</t>
  </si>
  <si>
    <t>Post</t>
  </si>
  <si>
    <t>Post**</t>
  </si>
  <si>
    <t>Personnel Expenses</t>
  </si>
  <si>
    <t>Salaries and allowances</t>
  </si>
  <si>
    <t>Filing</t>
  </si>
  <si>
    <t>Building Expenses</t>
  </si>
  <si>
    <t>Property and Equipment Maintenance</t>
  </si>
  <si>
    <t>Social security benefits</t>
  </si>
  <si>
    <t>Search</t>
  </si>
  <si>
    <t>Data Processing</t>
  </si>
  <si>
    <t>EDP Equipment and Maintenance</t>
  </si>
  <si>
    <t>Training and other staff expenses</t>
  </si>
  <si>
    <t>Tax adjustment transfer</t>
  </si>
  <si>
    <t>Examination</t>
  </si>
  <si>
    <t>Patent Information</t>
  </si>
  <si>
    <t>Co-operation and Patent Information</t>
  </si>
  <si>
    <t>Depreciation</t>
  </si>
  <si>
    <t>Opposition</t>
  </si>
  <si>
    <t>Financial Expenses</t>
  </si>
  <si>
    <t>General Operating Expenses</t>
  </si>
  <si>
    <t>IT maintenance</t>
  </si>
  <si>
    <t>Appeal</t>
  </si>
  <si>
    <t>Building maintenance</t>
  </si>
  <si>
    <t>Patent information</t>
  </si>
  <si>
    <t>Patent information and cooperation</t>
  </si>
  <si>
    <t>Technical cooperation</t>
  </si>
  <si>
    <t>Miscellaneous</t>
  </si>
  <si>
    <t>Patent informaiton and cooperation</t>
  </si>
  <si>
    <t>European patent academy</t>
  </si>
  <si>
    <t>Other</t>
  </si>
  <si>
    <t>Tax adjustment transfer (one-time)</t>
  </si>
  <si>
    <t>TOTAL</t>
  </si>
  <si>
    <t>General processing work</t>
  </si>
  <si>
    <t>Computerization of Patent Processing</t>
  </si>
  <si>
    <t>Examinations and appeals/trials</t>
  </si>
  <si>
    <t>Examinations and  Appeals</t>
  </si>
  <si>
    <t>Information management</t>
  </si>
  <si>
    <t>Patent Protection</t>
  </si>
  <si>
    <t>Publication of patent gazette</t>
  </si>
  <si>
    <t>Developing the Patent Markets</t>
  </si>
  <si>
    <t>Computerisation of patent processing work</t>
  </si>
  <si>
    <t>Computerization of patent processing work</t>
  </si>
  <si>
    <t>International Protection of IPRs</t>
  </si>
  <si>
    <t>Facility improvement</t>
  </si>
  <si>
    <t>NCIPI in Operating Subsidies</t>
  </si>
  <si>
    <t>NCIPI operation</t>
  </si>
  <si>
    <t>Operating subsidies for INPIT</t>
  </si>
  <si>
    <t>Salaries and benefits</t>
  </si>
  <si>
    <t>Personnel resources</t>
  </si>
  <si>
    <t>General operating expenses</t>
  </si>
  <si>
    <t>Internal business</t>
  </si>
  <si>
    <t>External support</t>
  </si>
  <si>
    <t>Primary business expenses</t>
  </si>
  <si>
    <t>Equipment</t>
  </si>
  <si>
    <t>Other expenses</t>
  </si>
  <si>
    <t>Patent Examination</t>
  </si>
  <si>
    <t>IP affairs</t>
  </si>
  <si>
    <t>Administrative Affairs</t>
  </si>
  <si>
    <t>Administrative Operation</t>
  </si>
  <si>
    <t>Social Security</t>
  </si>
  <si>
    <t>Social security</t>
  </si>
  <si>
    <t>Housing Security</t>
  </si>
  <si>
    <t>Housing security</t>
  </si>
  <si>
    <t>Social and Housing security, Pension</t>
  </si>
  <si>
    <t>International affairs</t>
  </si>
  <si>
    <t>International Affairs</t>
  </si>
  <si>
    <t>Salaries and Benefits</t>
  </si>
  <si>
    <t>Salaries and Benefits:</t>
  </si>
  <si>
    <t>Rent and Utilities</t>
  </si>
  <si>
    <t>Rent and Utilities:</t>
  </si>
  <si>
    <t>Equipments</t>
  </si>
  <si>
    <t>Rent and Untilities</t>
  </si>
  <si>
    <t>Contracts and Services</t>
  </si>
  <si>
    <t>Contracts and Services:</t>
  </si>
  <si>
    <t>Rents and Utilities</t>
  </si>
  <si>
    <t>Printing</t>
  </si>
  <si>
    <t>Other expenses:</t>
  </si>
  <si>
    <t>Supplies and Materials</t>
  </si>
  <si>
    <t>Contracts / Services</t>
  </si>
  <si>
    <t>Other Expenses</t>
  </si>
  <si>
    <t>Type</t>
  </si>
  <si>
    <t>Patent/Utility model Examiners</t>
  </si>
  <si>
    <t>Design Examiners</t>
  </si>
  <si>
    <t>Trademark Examiners</t>
  </si>
  <si>
    <t>Examiners</t>
  </si>
  <si>
    <t>Appeal Boards</t>
  </si>
  <si>
    <t>Sub-total</t>
  </si>
  <si>
    <t>Appeal examiners</t>
  </si>
  <si>
    <t>General staff</t>
  </si>
  <si>
    <t>Patents Examiners</t>
  </si>
  <si>
    <t>Designs Examiners</t>
  </si>
  <si>
    <t>Designs and Trademark Examiners</t>
  </si>
  <si>
    <t>Design and Trademarks Examiners</t>
  </si>
  <si>
    <t>Trademarks Examiners</t>
  </si>
  <si>
    <t>Other staff</t>
  </si>
  <si>
    <t>Functional Department</t>
  </si>
  <si>
    <t>Examiners: Invention</t>
  </si>
  <si>
    <t>Examiners:Patent</t>
  </si>
  <si>
    <t>12,000</t>
  </si>
  <si>
    <t>13704</t>
  </si>
  <si>
    <t>Utility Model &amp; Design</t>
  </si>
  <si>
    <t>Examiners:Utility Model &amp; Design</t>
  </si>
  <si>
    <t>other patent office staff</t>
  </si>
  <si>
    <t>Examiners:Preliminary examiniation and flow management</t>
  </si>
  <si>
    <t>Patent Re-Examination Board</t>
  </si>
  <si>
    <t>Supporting department</t>
  </si>
  <si>
    <t>Other Subordinate Unites Under the Office</t>
  </si>
  <si>
    <t>General Administration</t>
  </si>
  <si>
    <t>Re-Examination Board</t>
  </si>
  <si>
    <t>Other Subordinate units Under the Office</t>
  </si>
  <si>
    <t>UPR Patent Examiners</t>
  </si>
  <si>
    <t>Design Patent Examiners</t>
  </si>
  <si>
    <t>Managerial, Administrative, Other Patent Staff</t>
  </si>
  <si>
    <t>Trademark examiners</t>
  </si>
  <si>
    <t>Other USPTO staff</t>
  </si>
  <si>
    <t>Managerial, Administrative and Support staff</t>
  </si>
  <si>
    <t>Searches carried out</t>
  </si>
  <si>
    <t>European</t>
  </si>
  <si>
    <t>PCT</t>
  </si>
  <si>
    <t>Examinations (final actions)</t>
  </si>
  <si>
    <t>Appeals</t>
  </si>
  <si>
    <t>Technical</t>
  </si>
  <si>
    <t>Petitions for reviews and referrals</t>
  </si>
  <si>
    <t>Other appeals</t>
  </si>
  <si>
    <t>Applications filed</t>
  </si>
  <si>
    <t>Requests</t>
  </si>
  <si>
    <t>First Actions</t>
  </si>
  <si>
    <t>Final Actions</t>
  </si>
  <si>
    <t>Grants</t>
  </si>
  <si>
    <t>Appeals/Trials</t>
  </si>
  <si>
    <t>Appeal on refusals</t>
  </si>
  <si>
    <t>Trials on invalidation</t>
  </si>
  <si>
    <t>Applications in appeal</t>
  </si>
  <si>
    <t>PCT activities</t>
  </si>
  <si>
    <t>International searches</t>
  </si>
  <si>
    <t>Applications in opposition</t>
  </si>
  <si>
    <t>Preliminary examinations</t>
  </si>
  <si>
    <t>First actions</t>
  </si>
  <si>
    <t>Final actions</t>
  </si>
  <si>
    <t>International preliminary examinations</t>
  </si>
  <si>
    <t>Re-Examination and Invalidation</t>
  </si>
  <si>
    <t>Requests for Re-Examination</t>
  </si>
  <si>
    <t>Requests Invalidation</t>
  </si>
  <si>
    <t>International search reports</t>
  </si>
  <si>
    <t>PCT Ch II</t>
  </si>
  <si>
    <t>PCT Chapter II Examination</t>
  </si>
  <si>
    <t>Contested</t>
  </si>
  <si>
    <t>Ex-parte Contested</t>
  </si>
  <si>
    <t>Disposed</t>
  </si>
  <si>
    <t>Ex-parte Disposed</t>
  </si>
  <si>
    <t>Not allowed</t>
  </si>
  <si>
    <t>Inter-partes contested</t>
  </si>
  <si>
    <t>Pending</t>
  </si>
  <si>
    <t>Inter-partes Disposed</t>
  </si>
  <si>
    <t>Interference</t>
  </si>
  <si>
    <t>Litigation</t>
  </si>
  <si>
    <t>Cases filed</t>
  </si>
  <si>
    <t>Cases disposed</t>
  </si>
  <si>
    <t>Cases pending</t>
  </si>
  <si>
    <t>Worldwide patenting activity</t>
  </si>
  <si>
    <t>Patent applications filing by bloc of origin and type</t>
  </si>
  <si>
    <t>National</t>
  </si>
  <si>
    <t>Regional</t>
  </si>
  <si>
    <t>International (PCT)</t>
  </si>
  <si>
    <t>Fig. 3.1</t>
  </si>
  <si>
    <t>Procedure</t>
  </si>
  <si>
    <t>Direct national</t>
  </si>
  <si>
    <t>Direct regional</t>
  </si>
  <si>
    <t>PCT international</t>
  </si>
  <si>
    <t>Fig. 3.2</t>
  </si>
  <si>
    <t>Bloc of origin</t>
  </si>
  <si>
    <t>Fig. 3.3</t>
  </si>
  <si>
    <t xml:space="preserve">   Fig. 3.3.: WORLDWIDE PATENT FILINGS - PERCENTAGE FILED AT HONE</t>
  </si>
  <si>
    <t>Patent filings - Fig.3.1 - 3.2 - 3.3</t>
  </si>
  <si>
    <t>First filings - Fig.3.4</t>
  </si>
  <si>
    <t>Filing bloc</t>
  </si>
  <si>
    <t>PCT national &amp; regional</t>
  </si>
  <si>
    <t>a patent offices - Fig.3.5, 3.6, 3.7</t>
  </si>
  <si>
    <t>Patent applications filed with</t>
  </si>
  <si>
    <t>PCT national</t>
  </si>
  <si>
    <t>&amp; regional</t>
  </si>
  <si>
    <t>Fig.3.8, 3.9, 3.10</t>
  </si>
  <si>
    <t>Demand for patent rights</t>
  </si>
  <si>
    <t>Granted patent rights</t>
  </si>
  <si>
    <t>Fig.3.11, 3.12, 3.13</t>
  </si>
  <si>
    <t>National rights granted</t>
  </si>
  <si>
    <t>Patent rights granted</t>
  </si>
  <si>
    <t>Filing office</t>
  </si>
  <si>
    <t>Patent families - Table 3</t>
  </si>
  <si>
    <t>Year of priority filings:</t>
  </si>
  <si>
    <t xml:space="preserve">Bloc of origin  </t>
  </si>
  <si>
    <t>First Filings</t>
  </si>
  <si>
    <t xml:space="preserve">                                                Flows to Subsequent Filings</t>
  </si>
  <si>
    <t xml:space="preserve">Trilateral </t>
  </si>
  <si>
    <t>Four Blocs</t>
  </si>
  <si>
    <t>Five Blocs</t>
  </si>
  <si>
    <t xml:space="preserve">                                         Flows to Subsequent Filings</t>
  </si>
  <si>
    <t>from which priority</t>
  </si>
  <si>
    <t>in Bloc of</t>
  </si>
  <si>
    <t xml:space="preserve">                                                   First filings in Bloc of Origin leading to priority claims in filings in:</t>
  </si>
  <si>
    <t xml:space="preserve">Patent Families </t>
  </si>
  <si>
    <t xml:space="preserve">                                                        First filings in Bloc of Origin leading to priority claims in filings in:</t>
  </si>
  <si>
    <t>is claimed</t>
  </si>
  <si>
    <t>Any other</t>
  </si>
  <si>
    <t>Any other Five</t>
  </si>
  <si>
    <t>from bloc of origin</t>
  </si>
  <si>
    <t xml:space="preserve">from bloc of origin </t>
  </si>
  <si>
    <t>Blocs</t>
  </si>
  <si>
    <t>Bloc</t>
  </si>
  <si>
    <t>Korea</t>
  </si>
  <si>
    <t>U.S.A</t>
  </si>
  <si>
    <t>countries</t>
  </si>
  <si>
    <t>U.S.A.</t>
  </si>
  <si>
    <t>Five blocs</t>
  </si>
  <si>
    <t>subtotal</t>
  </si>
  <si>
    <t>Global total</t>
  </si>
  <si>
    <t>Percentages are the counts expressed as proportions of the numbers of First Filings in the countries/blocs of origin. Families with only utility models are excluded</t>
  </si>
  <si>
    <t>Families with only utility models are excluded.</t>
  </si>
  <si>
    <t>NUMBERS OF PATENT FAMILIES</t>
  </si>
  <si>
    <t>PROPORTIONS OF PATENT FAMILIES USING PCT ROUTE</t>
  </si>
  <si>
    <t xml:space="preserve">Source: </t>
  </si>
  <si>
    <t>EPO DOCDB database</t>
  </si>
  <si>
    <t>Any Other</t>
  </si>
  <si>
    <t>Trilateral Bloc</t>
  </si>
  <si>
    <t>China</t>
    <phoneticPr fontId="49" type="noConversion"/>
  </si>
  <si>
    <t>US</t>
    <phoneticPr fontId="49" type="noConversion"/>
  </si>
  <si>
    <t>EPC, JP, US</t>
  </si>
  <si>
    <t>EPC, JP, KR, US</t>
  </si>
  <si>
    <t>EPC, CN, JP, KR, US</t>
  </si>
  <si>
    <t>IP5 Patent families - Fig.3.17</t>
  </si>
  <si>
    <t>Expenses/Expenditures</t>
  </si>
  <si>
    <t>IP5 patent statistics</t>
  </si>
  <si>
    <t>Fig. 4.1, 4.2</t>
  </si>
  <si>
    <t>Fig. 4.3</t>
  </si>
  <si>
    <t>Sector</t>
  </si>
  <si>
    <t>Sectors of technology</t>
  </si>
  <si>
    <t>Electrical engineering</t>
  </si>
  <si>
    <t>Instruments</t>
  </si>
  <si>
    <t>Chemistry</t>
  </si>
  <si>
    <t>Mechanical engineering</t>
  </si>
  <si>
    <t>other field</t>
  </si>
  <si>
    <t>Medical technology</t>
  </si>
  <si>
    <t xml:space="preserve">Medical technology                                               </t>
  </si>
  <si>
    <t>Digital communication</t>
  </si>
  <si>
    <t>Electrical machinery, apparatus, energy</t>
  </si>
  <si>
    <t>Computer technology</t>
  </si>
  <si>
    <t>Transport</t>
  </si>
  <si>
    <t>Measurement</t>
  </si>
  <si>
    <t>Organic fine chemistry</t>
  </si>
  <si>
    <t>Engines, pumps, turbines</t>
  </si>
  <si>
    <t>Pharmaceuticals</t>
  </si>
  <si>
    <t>Biotechnology</t>
  </si>
  <si>
    <t>Other special machines</t>
  </si>
  <si>
    <t>Optics</t>
  </si>
  <si>
    <t>Furniture, games</t>
  </si>
  <si>
    <t xml:space="preserve">Furniture, games </t>
  </si>
  <si>
    <t>Semiconductors</t>
  </si>
  <si>
    <t>Audio-visual technology</t>
  </si>
  <si>
    <t>Handling</t>
  </si>
  <si>
    <t>IT methods for management</t>
  </si>
  <si>
    <t>Civil engineering</t>
  </si>
  <si>
    <t>Food chemistry</t>
  </si>
  <si>
    <t>Machine tools</t>
  </si>
  <si>
    <t>Other consumer goods</t>
  </si>
  <si>
    <t>Materials, metallurgy</t>
  </si>
  <si>
    <t xml:space="preserve">Basic materials chemistry </t>
  </si>
  <si>
    <t>Chemical engineering</t>
  </si>
  <si>
    <t>Basic materials chemistry</t>
  </si>
  <si>
    <t>Telecommunications</t>
  </si>
  <si>
    <t>Rank</t>
  </si>
  <si>
    <t>https://www.wipo.int/ipstats/en/statistics/patents/xls/ipc_technology.xlsx</t>
  </si>
  <si>
    <t>* WIPO fields of technology:</t>
  </si>
  <si>
    <t>Basic communication processes</t>
  </si>
  <si>
    <t>Analysis of biological materials</t>
  </si>
  <si>
    <t>Control</t>
  </si>
  <si>
    <t>Macromolecular chemistry, polymers</t>
  </si>
  <si>
    <t>Surface technology, coating</t>
  </si>
  <si>
    <t>Micro-structural and nano-technology</t>
  </si>
  <si>
    <t>Environmental technology</t>
  </si>
  <si>
    <t>Textile and paper machines</t>
  </si>
  <si>
    <t>Thermal processes and apparatus</t>
  </si>
  <si>
    <t>Mechanical elements</t>
  </si>
  <si>
    <t>Top 10 leading fields of technology* (ranking and % share of applications in the field)</t>
  </si>
  <si>
    <t>EPO PATSTAT / DOCDB database</t>
  </si>
  <si>
    <t>Fig. 4.9</t>
  </si>
  <si>
    <t>Patentees distribution</t>
  </si>
  <si>
    <t>1. For EPO the EPO a proportion represents a weighted average ratio of the maintenance of the validated European patents in the EPC states.</t>
  </si>
  <si>
    <t>Fig. 4.10</t>
  </si>
  <si>
    <t>Table 4.3</t>
  </si>
  <si>
    <t>n.a</t>
  </si>
  <si>
    <t>Filings</t>
  </si>
  <si>
    <t>Nat/Reg entry</t>
  </si>
  <si>
    <t>PCT in procedure</t>
  </si>
  <si>
    <t xml:space="preserve">Fig. 5.1, 5.2, 5.3, 5.4, &amp; 5.6 </t>
  </si>
  <si>
    <t>As from the 2012 data, statistics are compiled on the EPO worldwide patent statistics database (PATSTAT)</t>
  </si>
  <si>
    <t>Fig, 5.7, 5.8 &amp; 5.9</t>
  </si>
  <si>
    <t>Receiving Office</t>
  </si>
  <si>
    <t>Interational Searching Authority</t>
  </si>
  <si>
    <t>Interational Preliminary Examination Authority</t>
  </si>
  <si>
    <t>Table 6</t>
  </si>
  <si>
    <t>Fig. 4.4</t>
  </si>
  <si>
    <t>Tables 2.1, 2.2, 2.3, 2.4, 2.5</t>
  </si>
  <si>
    <t>IP5 Cross filings</t>
  </si>
  <si>
    <t>Origin of IP5 Cross filings</t>
  </si>
  <si>
    <t>Type of cross filings - number of offices involved</t>
  </si>
  <si>
    <t>Bilateral</t>
  </si>
  <si>
    <t>Trilateral</t>
  </si>
  <si>
    <t>Quadrilateral</t>
  </si>
  <si>
    <t>IP5</t>
  </si>
  <si>
    <t>Fig. 3.11 Worldwide patents granted - origin</t>
  </si>
  <si>
    <t>Fig. 3.12 Worldwide patents granted - filing bloc</t>
  </si>
  <si>
    <t>Fig. 3.13 National patent rights granted - filing bloc</t>
  </si>
  <si>
    <t>Fig. 3.17 IP5 patent families - origin</t>
  </si>
  <si>
    <t>Fig. 4.10   Patents granted - maintenance from filing date</t>
  </si>
  <si>
    <t>Fig. 4.9   Patents granted - patentees distribution</t>
  </si>
  <si>
    <r>
      <t>Fig. 2.3: IP5 Cross filings - origin    (</t>
    </r>
    <r>
      <rPr>
        <b/>
        <i/>
        <u/>
        <sz val="11"/>
        <color theme="10"/>
        <rFont val="Calibri"/>
        <family val="2"/>
      </rPr>
      <t>new</t>
    </r>
    <r>
      <rPr>
        <u/>
        <sz val="11"/>
        <color theme="10"/>
        <rFont val="Calibri"/>
        <family val="2"/>
        <scheme val="minor"/>
      </rPr>
      <t>)</t>
    </r>
  </si>
  <si>
    <t>Applications and grants filed via the PCT</t>
  </si>
  <si>
    <r>
      <t>Fig. 4.8:   Granted patents - leading technologies   (</t>
    </r>
    <r>
      <rPr>
        <b/>
        <i/>
        <u/>
        <sz val="11"/>
        <color theme="10"/>
        <rFont val="Calibri"/>
        <family val="2"/>
      </rPr>
      <t>new</t>
    </r>
    <r>
      <rPr>
        <u/>
        <sz val="11"/>
        <color theme="10"/>
        <rFont val="Calibri"/>
        <family val="2"/>
        <scheme val="minor"/>
      </rPr>
      <t>)</t>
    </r>
  </si>
  <si>
    <r>
      <t>Fig. 4.7 Granted patents  - sector of technology   (</t>
    </r>
    <r>
      <rPr>
        <b/>
        <i/>
        <u/>
        <sz val="11"/>
        <color theme="10"/>
        <rFont val="Calibri"/>
        <family val="2"/>
      </rPr>
      <t>new</t>
    </r>
    <r>
      <rPr>
        <u/>
        <sz val="11"/>
        <color theme="10"/>
        <rFont val="Calibri"/>
        <family val="2"/>
        <scheme val="minor"/>
      </rPr>
      <t>)</t>
    </r>
  </si>
  <si>
    <t>Fig. 4.7</t>
  </si>
  <si>
    <t>Granted patents - sectors of technology</t>
  </si>
  <si>
    <t>Fig. 4.8</t>
  </si>
  <si>
    <t>Top 10 leading fields of technology* (ranking and % share of granted patents in the field)</t>
  </si>
  <si>
    <t>content</t>
  </si>
  <si>
    <t>Fig. 4.4:   Applications filed - leading technologies   (new)</t>
  </si>
  <si>
    <t>Some differences with previous editions ay appear due to later revisions</t>
  </si>
  <si>
    <t>For the most recent years minimal corrections may reflect the latest data.</t>
  </si>
  <si>
    <t>Note</t>
  </si>
  <si>
    <t>Jurisdiction</t>
  </si>
  <si>
    <t>Fig. 2.1, 2.2 Patents in Force</t>
  </si>
  <si>
    <t>Fig. 2.2   Patents in Force - Jurisdiction &amp; Origin</t>
  </si>
  <si>
    <t>Most frequent combinations</t>
  </si>
  <si>
    <t>Fig. 2.3, 2.4 &amp; 2.5</t>
  </si>
  <si>
    <t>JP-US</t>
  </si>
  <si>
    <t>CN-US</t>
  </si>
  <si>
    <t>EP-CN-US</t>
  </si>
  <si>
    <t>EP-US</t>
  </si>
  <si>
    <t>EP-CN-JP-US</t>
  </si>
  <si>
    <t>CN-JP-US</t>
  </si>
  <si>
    <t>KR-US</t>
  </si>
  <si>
    <t>EP-CN</t>
  </si>
  <si>
    <t>CN-JP</t>
  </si>
  <si>
    <t>Fig. 2.4: IP5 Cross filings - type of cross filings   (new)</t>
  </si>
  <si>
    <t>Families involving a PCT member</t>
  </si>
  <si>
    <t>Year of priority filings</t>
  </si>
  <si>
    <t>Proportion PCT in flows</t>
  </si>
  <si>
    <r>
      <rPr>
        <b/>
        <sz val="11"/>
        <color theme="1"/>
        <rFont val="Calibri"/>
        <family val="2"/>
      </rPr>
      <t>Bloc of origin</t>
    </r>
    <r>
      <rPr>
        <sz val="11"/>
        <color theme="1"/>
        <rFont val="Calibri"/>
        <family val="2"/>
        <scheme val="minor"/>
      </rPr>
      <t xml:space="preserve"> from which priority is claimed</t>
    </r>
  </si>
  <si>
    <r>
      <rPr>
        <b/>
        <sz val="11"/>
        <color theme="1"/>
        <rFont val="Calibri"/>
        <family val="2"/>
      </rPr>
      <t>First filings</t>
    </r>
    <r>
      <rPr>
        <sz val="11"/>
        <color theme="1"/>
        <rFont val="Calibri"/>
        <family val="2"/>
        <scheme val="minor"/>
      </rPr>
      <t xml:space="preserve"> in bloc of origin</t>
    </r>
  </si>
  <si>
    <t>Flows to subsequent filings</t>
  </si>
  <si>
    <r>
      <rPr>
        <b/>
        <sz val="11"/>
        <color theme="1"/>
        <rFont val="Calibri"/>
        <family val="2"/>
      </rPr>
      <t>IP5 Patent Families</t>
    </r>
    <r>
      <rPr>
        <sz val="11"/>
        <color theme="1"/>
        <rFont val="Calibri"/>
        <family val="2"/>
        <scheme val="minor"/>
      </rPr>
      <t xml:space="preserve"> from bloc of origin</t>
    </r>
  </si>
  <si>
    <t xml:space="preserve">                          Secondary Filings</t>
  </si>
  <si>
    <t>First filings in bloc of origin leading to priority claims in filings in:</t>
  </si>
  <si>
    <t>for which priority</t>
  </si>
  <si>
    <t xml:space="preserve">                            Numbers of Priorities claimed in Bloc of origin from:</t>
  </si>
  <si>
    <t>Any other bloc</t>
  </si>
  <si>
    <t>Any other IP5 bloc</t>
  </si>
  <si>
    <t>Other countries</t>
  </si>
  <si>
    <t>Any Five</t>
  </si>
  <si>
    <t>IP5 blocs substotal</t>
  </si>
  <si>
    <t>Globla total</t>
  </si>
  <si>
    <t>Source</t>
  </si>
  <si>
    <t>Patstat Database Spring 2023</t>
  </si>
  <si>
    <t>2022 Statistical Tables - IP5 Offices</t>
  </si>
  <si>
    <r>
      <t>1</t>
    </r>
    <r>
      <rPr>
        <i/>
        <sz val="10"/>
        <rFont val="Arial"/>
        <family val="2"/>
      </rPr>
      <t xml:space="preserve"> For the CNIPA, only the numbers are available of patent applications entering into the substantial examination phase in the respective year.</t>
    </r>
  </si>
  <si>
    <r>
      <t>2</t>
    </r>
    <r>
      <rPr>
        <i/>
        <sz val="10"/>
        <rFont val="Arial"/>
        <family val="2"/>
      </rPr>
      <t xml:space="preserve"> For the CNIPA, only the numbers are available of grants in the respective year.</t>
    </r>
  </si>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</sst>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_ * #,##0_ ;_ * \-#,##0_ ;_ * &quot;-&quot;??_ ;_ @_ "/>
    <numFmt numFmtId="166" formatCode="0_);[Red]\(0\)"/>
    <numFmt numFmtId="167" formatCode="0.0"/>
    <numFmt numFmtId="168" formatCode="#,##0.0"/>
    <numFmt numFmtId="169" formatCode="#,##0_ "/>
    <numFmt numFmtId="170" formatCode="#,##0.0_ "/>
    <numFmt numFmtId="171" formatCode="#,##0.0;[Red]\-#,##0.0"/>
    <numFmt numFmtId="172" formatCode="#\ ##0"/>
    <numFmt numFmtId="173" formatCode="0.0%"/>
    <numFmt numFmtId="174" formatCode="\(0.0%\)"/>
    <numFmt numFmtId="175" formatCode="&quot;(&quot;0.0%&quot;)&quot;"/>
    <numFmt numFmtId="176" formatCode="0.0000%"/>
    <numFmt numFmtId="177" formatCode="0.000%"/>
  </numFmts>
  <fonts count="78">
    <font>
      <sz val="11"/>
      <color theme="1"/>
      <name val="Calibri"/>
      <family val="2"/>
      <scheme val="minor"/>
    </font>
    <font>
      <sz val="11"/>
      <color theme="1"/>
      <name val="Calibri"/>
      <family val="2"/>
      <scheme val="minor"/>
    </font>
    <font>
      <b/>
      <sz val="16"/>
      <color theme="1"/>
      <name val="Arial"/>
      <family val="2"/>
    </font>
    <font>
      <sz val="14"/>
      <color theme="1"/>
      <name val="Arial"/>
      <family val="2"/>
    </font>
    <font>
      <b/>
      <sz val="14"/>
      <color rgb="FF0000CC"/>
      <name val="Arial"/>
      <family val="2"/>
    </font>
    <font>
      <sz val="14"/>
      <name val="Arial"/>
      <family val="2"/>
    </font>
    <font>
      <u/>
      <sz val="11"/>
      <color theme="10"/>
      <name val="Calibri"/>
      <family val="3"/>
      <charset val="134"/>
      <scheme val="minor"/>
    </font>
    <font>
      <sz val="11"/>
      <name val="ＭＳ Ｐゴシック"/>
      <family val="2"/>
    </font>
    <font>
      <b/>
      <sz val="12"/>
      <name val="Arial"/>
      <family val="2"/>
    </font>
    <font>
      <sz val="11"/>
      <name val="Arial"/>
      <family val="2"/>
    </font>
    <font>
      <b/>
      <sz val="11"/>
      <name val="Arial"/>
      <family val="2"/>
    </font>
    <font>
      <b/>
      <sz val="10"/>
      <name val="Arial"/>
      <family val="2"/>
    </font>
    <font>
      <sz val="11"/>
      <color indexed="10"/>
      <name val="Arial"/>
      <family val="2"/>
    </font>
    <font>
      <sz val="10"/>
      <name val="Arial"/>
      <family val="2"/>
    </font>
    <font>
      <sz val="11"/>
      <color theme="1"/>
      <name val="Arial"/>
      <family val="2"/>
    </font>
    <font>
      <sz val="11"/>
      <color indexed="48"/>
      <name val="ＭＳ Ｐゴシック"/>
      <family val="2"/>
    </font>
    <font>
      <sz val="11"/>
      <color indexed="48"/>
      <name val="Arial"/>
      <family val="2"/>
    </font>
    <font>
      <sz val="11"/>
      <color theme="1"/>
      <name val="Calibri"/>
      <family val="3"/>
      <charset val="128"/>
      <scheme val="minor"/>
    </font>
    <font>
      <sz val="10"/>
      <color indexed="10"/>
      <name val="Arial"/>
      <family val="2"/>
    </font>
    <font>
      <sz val="10"/>
      <color theme="1"/>
      <name val="Arial"/>
      <family val="2"/>
    </font>
    <font>
      <b/>
      <sz val="11"/>
      <color theme="1"/>
      <name val="Calibri"/>
      <family val="3"/>
      <charset val="134"/>
      <scheme val="minor"/>
    </font>
    <font>
      <sz val="11"/>
      <name val="Calibri"/>
      <family val="3"/>
      <charset val="134"/>
      <scheme val="minor"/>
    </font>
    <font>
      <b/>
      <sz val="11"/>
      <color rgb="FF0000CC"/>
      <name val="Calibri"/>
      <family val="3"/>
      <charset val="128"/>
      <scheme val="minor"/>
    </font>
    <font>
      <sz val="11"/>
      <color theme="1"/>
      <name val="Calibri"/>
      <family val="3"/>
      <charset val="134"/>
      <scheme val="minor"/>
    </font>
    <font>
      <vertAlign val="superscript"/>
      <sz val="10"/>
      <name val="Arial"/>
      <family val="2"/>
    </font>
    <font>
      <i/>
      <vertAlign val="superscript"/>
      <sz val="10"/>
      <name val="Arial"/>
      <family val="2"/>
    </font>
    <font>
      <i/>
      <sz val="10"/>
      <name val="Arial"/>
      <family val="2"/>
    </font>
    <font>
      <i/>
      <sz val="10"/>
      <color indexed="10"/>
      <name val="Arial"/>
      <family val="2"/>
    </font>
    <font>
      <vertAlign val="superscript"/>
      <sz val="9"/>
      <name val="Arial"/>
      <family val="2"/>
    </font>
    <font>
      <sz val="12"/>
      <name val="Arial"/>
      <family val="2"/>
    </font>
    <font>
      <sz val="12"/>
      <color indexed="10"/>
      <name val="Arial"/>
      <family val="2"/>
    </font>
    <font>
      <sz val="11"/>
      <color indexed="10"/>
      <name val="Calibri"/>
      <family val="3"/>
      <charset val="134"/>
      <scheme val="minor"/>
    </font>
    <font>
      <b/>
      <i/>
      <sz val="14"/>
      <name val="Calibri"/>
      <family val="3"/>
      <charset val="134"/>
      <scheme val="minor"/>
    </font>
    <font>
      <b/>
      <sz val="14"/>
      <color theme="1"/>
      <name val="Arial"/>
      <family val="2"/>
    </font>
    <font>
      <b/>
      <vertAlign val="superscript"/>
      <sz val="14"/>
      <name val="Arial"/>
      <family val="2"/>
    </font>
    <font>
      <sz val="12"/>
      <color theme="1"/>
      <name val="Arial"/>
      <family val="2"/>
    </font>
    <font>
      <b/>
      <sz val="14"/>
      <name val="Arial"/>
      <family val="2"/>
    </font>
    <font>
      <b/>
      <sz val="11"/>
      <color indexed="10"/>
      <name val="Arial"/>
      <family val="2"/>
    </font>
    <font>
      <i/>
      <sz val="11"/>
      <name val="Arial"/>
      <family val="2"/>
    </font>
    <font>
      <b/>
      <sz val="9"/>
      <name val="Arial"/>
      <family val="2"/>
    </font>
    <font>
      <sz val="9"/>
      <name val="Arial"/>
      <family val="2"/>
    </font>
    <font>
      <sz val="11"/>
      <color theme="1"/>
      <name val="Calibri"/>
      <family val="2"/>
      <scheme val="minor"/>
    </font>
    <font>
      <b/>
      <sz val="14"/>
      <color theme="1"/>
      <name val="Calibri"/>
      <family val="2"/>
      <scheme val="minor"/>
    </font>
    <font>
      <b/>
      <sz val="16"/>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0"/>
      <name val="Helvetica"/>
      <family val="2"/>
    </font>
    <font>
      <sz val="9"/>
      <name val="ＭＳ Ｐゴシック"/>
      <family val="2"/>
    </font>
    <font>
      <sz val="10"/>
      <color rgb="FFFF0000"/>
      <name val="Helvetica"/>
      <family val="2"/>
    </font>
    <font>
      <sz val="10"/>
      <color theme="1"/>
      <name val="Calibri"/>
      <family val="2"/>
      <scheme val="minor"/>
    </font>
    <font>
      <sz val="10"/>
      <name val="Calibri"/>
      <family val="2"/>
      <scheme val="minor"/>
    </font>
    <font>
      <sz val="11"/>
      <name val="Calibri"/>
      <family val="2"/>
      <scheme val="minor"/>
    </font>
    <font>
      <b/>
      <sz val="11"/>
      <name val="Calibri"/>
      <family val="2"/>
      <scheme val="minor"/>
    </font>
    <font>
      <b/>
      <sz val="11"/>
      <color rgb="FFFF0000"/>
      <name val="Calibri"/>
      <family val="2"/>
      <scheme val="minor"/>
    </font>
    <font>
      <sz val="11"/>
      <color indexed="18"/>
      <name val="Calibri"/>
      <family val="2"/>
      <scheme val="minor"/>
    </font>
    <font>
      <sz val="11"/>
      <color theme="0"/>
      <name val="Calibri"/>
      <family val="2"/>
      <scheme val="minor"/>
    </font>
    <font>
      <sz val="11"/>
      <color theme="2"/>
      <name val="Calibri"/>
      <family val="2"/>
      <scheme val="minor"/>
    </font>
    <font>
      <sz val="11"/>
      <color theme="0"/>
      <name val="Arial"/>
      <family val="2"/>
    </font>
    <font>
      <sz val="9"/>
      <color theme="0"/>
      <name val="Arial"/>
      <family val="2"/>
    </font>
    <font>
      <i/>
      <sz val="11"/>
      <color theme="1"/>
      <name val="Calibri"/>
      <family val="2"/>
      <scheme val="minor"/>
    </font>
    <font>
      <u/>
      <sz val="11"/>
      <color theme="10"/>
      <name val="Calibri"/>
      <family val="2"/>
      <scheme val="minor"/>
    </font>
    <font>
      <b/>
      <i/>
      <u/>
      <sz val="11"/>
      <color theme="10"/>
      <name val="Calibri"/>
      <family val="2"/>
    </font>
    <font>
      <b/>
      <u/>
      <sz val="14"/>
      <color theme="10"/>
      <name val="Calibri"/>
      <family val="2"/>
      <scheme val="minor"/>
    </font>
    <font>
      <sz val="10"/>
      <color theme="0"/>
      <name val="Calibri"/>
      <family val="2"/>
      <scheme val="minor"/>
    </font>
    <font>
      <i/>
      <sz val="11"/>
      <color theme="1"/>
      <name val="Arial"/>
      <family val="2"/>
    </font>
    <font>
      <u/>
      <sz val="12"/>
      <color theme="1"/>
      <name val="Arial"/>
      <family val="2"/>
    </font>
    <font>
      <sz val="11"/>
      <color theme="1"/>
      <name val="ＭＳ Ｐゴシック"/>
      <family val="3"/>
      <charset val="128"/>
    </font>
    <font>
      <sz val="11"/>
      <color rgb="FF0000CC"/>
      <name val="Calibri"/>
      <family val="2"/>
      <scheme val="minor"/>
    </font>
    <font>
      <b/>
      <sz val="11"/>
      <color theme="1"/>
      <name val="Calibri"/>
      <family val="2"/>
    </font>
    <font>
      <sz val="11"/>
      <name val="Calibri"/>
      <family val="2"/>
    </font>
    <font>
      <sz val="11"/>
      <color rgb="FF0000CC"/>
      <name val="Arial"/>
      <family val="2"/>
    </font>
    <font>
      <sz val="11"/>
      <color rgb="FFC00000"/>
      <name val="Calibri"/>
      <family val="2"/>
      <scheme val="minor"/>
    </font>
    <font>
      <b/>
      <sz val="9"/>
      <color rgb="FF0000CC"/>
      <name val="Arial"/>
      <family val="2"/>
    </font>
    <font>
      <b/>
      <u/>
      <sz val="14"/>
      <color theme="8" tint="-0.249977111117893"/>
      <name val="Calibri"/>
      <family val="2"/>
      <scheme val="minor"/>
    </font>
    <font>
      <sz val="11"/>
      <name val="Calibri"/>
      <family val="3"/>
      <charset val="128"/>
      <scheme val="minor"/>
    </font>
    <font>
      <sz val="14"/>
      <color rgb="FF008000"/>
      <name val="Arial"/>
      <family val="2"/>
    </font>
    <font>
      <sz val="11"/>
      <color rgb="FFFFFFFF"/>
      <name val="Calibri"/>
      <family val="2"/>
      <scheme val="minor"/>
    </font>
  </fonts>
  <fills count="11">
    <fill>
      <patternFill patternType="none"/>
    </fill>
    <fill>
      <patternFill patternType="gray125"/>
    </fill>
    <fill>
      <patternFill patternType="solid">
        <fgColor theme="4" tint="0.39994506668294322"/>
        <bgColor indexed="64"/>
      </patternFill>
    </fill>
    <fill>
      <patternFill patternType="solid">
        <fgColor theme="0"/>
        <bgColor indexed="64"/>
      </patternFill>
    </fill>
    <fill>
      <patternFill patternType="solid">
        <fgColor theme="4" tint="0.79995117038483843"/>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s>
  <borders count="26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theme="1"/>
      </top>
      <bottom style="thin">
        <color auto="1"/>
      </bottom>
      <diagonal/>
    </border>
    <border>
      <left/>
      <right/>
      <top style="medium">
        <color theme="1"/>
      </top>
      <bottom style="thin">
        <color auto="1"/>
      </bottom>
      <diagonal/>
    </border>
    <border>
      <left style="medium">
        <color auto="1"/>
      </left>
      <right/>
      <top/>
      <bottom/>
      <diagonal/>
    </border>
    <border>
      <left style="thin">
        <color auto="1"/>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style="thin">
        <color auto="1"/>
      </top>
      <bottom/>
      <diagonal/>
    </border>
    <border>
      <left style="medium">
        <color auto="1"/>
      </left>
      <right style="medium">
        <color auto="1"/>
      </right>
      <top style="thin">
        <color auto="1"/>
      </top>
      <bottom style="hair">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medium">
        <color auto="1"/>
      </left>
      <right style="medium">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medium">
        <color auto="1"/>
      </left>
      <right style="medium">
        <color auto="1"/>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hair">
        <color auto="1"/>
      </top>
      <bottom style="medium">
        <color auto="1"/>
      </bottom>
      <diagonal/>
    </border>
    <border>
      <left/>
      <right style="thin">
        <color auto="1"/>
      </right>
      <top style="medium">
        <color auto="1"/>
      </top>
      <bottom style="thin">
        <color auto="1"/>
      </bottom>
      <diagonal/>
    </border>
    <border>
      <left style="medium">
        <color auto="1"/>
      </left>
      <right style="medium">
        <color auto="1"/>
      </right>
      <top/>
      <bottom style="hair">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theme="1"/>
      </right>
      <top style="thin">
        <color auto="1"/>
      </top>
      <bottom style="hair">
        <color auto="1"/>
      </bottom>
      <diagonal/>
    </border>
    <border>
      <left style="thin">
        <color theme="1"/>
      </left>
      <right style="thin">
        <color auto="1"/>
      </right>
      <top style="thin">
        <color auto="1"/>
      </top>
      <bottom style="hair">
        <color auto="1"/>
      </bottom>
      <diagonal/>
    </border>
    <border>
      <left/>
      <right style="thin">
        <color auto="1"/>
      </right>
      <top style="thin">
        <color auto="1"/>
      </top>
      <bottom style="hair">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theme="1"/>
      </right>
      <top style="hair">
        <color auto="1"/>
      </top>
      <bottom style="hair">
        <color auto="1"/>
      </bottom>
      <diagonal/>
    </border>
    <border>
      <left style="thin">
        <color theme="1"/>
      </left>
      <right style="thin">
        <color auto="1"/>
      </right>
      <top style="hair">
        <color auto="1"/>
      </top>
      <bottom style="hair">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theme="1"/>
      </right>
      <top style="hair">
        <color auto="1"/>
      </top>
      <bottom style="thin">
        <color auto="1"/>
      </bottom>
      <diagonal/>
    </border>
    <border>
      <left style="thin">
        <color theme="1"/>
      </left>
      <right style="thin">
        <color auto="1"/>
      </right>
      <top style="hair">
        <color auto="1"/>
      </top>
      <bottom style="thin">
        <color auto="1"/>
      </bottom>
      <diagonal/>
    </border>
    <border>
      <left/>
      <right style="thin">
        <color auto="1"/>
      </right>
      <top style="hair">
        <color auto="1"/>
      </top>
      <bottom style="thin">
        <color auto="1"/>
      </bottom>
      <diagonal/>
    </border>
    <border>
      <left/>
      <right style="thin">
        <color auto="1"/>
      </right>
      <top/>
      <bottom/>
      <diagonal/>
    </border>
    <border>
      <left style="medium">
        <color auto="1"/>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auto="1"/>
      </left>
      <right style="medium">
        <color auto="1"/>
      </right>
      <top style="medium">
        <color auto="1"/>
      </top>
      <bottom style="thin">
        <color auto="1"/>
      </bottom>
      <diagonal/>
    </border>
    <border>
      <left style="medium">
        <color theme="1"/>
      </left>
      <right style="thin">
        <color theme="1"/>
      </right>
      <top style="medium">
        <color auto="1"/>
      </top>
      <bottom style="thin">
        <color auto="1"/>
      </bottom>
      <diagonal/>
    </border>
    <border>
      <left style="medium">
        <color theme="1"/>
      </left>
      <right style="medium">
        <color theme="1"/>
      </right>
      <top style="medium">
        <color auto="1"/>
      </top>
      <bottom style="thin">
        <color auto="1"/>
      </bottom>
      <diagonal/>
    </border>
    <border>
      <left style="medium">
        <color theme="1"/>
      </left>
      <right style="medium">
        <color auto="1"/>
      </right>
      <top style="medium">
        <color auto="1"/>
      </top>
      <bottom style="thin">
        <color auto="1"/>
      </bottom>
      <diagonal/>
    </border>
    <border>
      <left style="medium">
        <color auto="1"/>
      </left>
      <right/>
      <top style="thin">
        <color auto="1"/>
      </top>
      <bottom style="hair">
        <color auto="1"/>
      </bottom>
      <diagonal/>
    </border>
    <border>
      <left style="medium">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theme="1"/>
      </left>
      <right style="thin">
        <color theme="1"/>
      </right>
      <top style="thin">
        <color auto="1"/>
      </top>
      <bottom style="hair">
        <color auto="1"/>
      </bottom>
      <diagonal/>
    </border>
    <border>
      <left style="medium">
        <color theme="1"/>
      </left>
      <right style="medium">
        <color theme="1"/>
      </right>
      <top style="thin">
        <color auto="1"/>
      </top>
      <bottom style="hair">
        <color auto="1"/>
      </bottom>
      <diagonal/>
    </border>
    <border>
      <left style="medium">
        <color theme="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theme="1"/>
      </left>
      <right style="thin">
        <color theme="1"/>
      </right>
      <top style="hair">
        <color auto="1"/>
      </top>
      <bottom style="hair">
        <color auto="1"/>
      </bottom>
      <diagonal/>
    </border>
    <border>
      <left style="medium">
        <color theme="1"/>
      </left>
      <right style="medium">
        <color theme="1"/>
      </right>
      <top style="hair">
        <color auto="1"/>
      </top>
      <bottom style="hair">
        <color auto="1"/>
      </bottom>
      <diagonal/>
    </border>
    <border>
      <left style="medium">
        <color theme="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thin">
        <color auto="1"/>
      </right>
      <top style="hair">
        <color auto="1"/>
      </top>
      <bottom/>
      <diagonal/>
    </border>
    <border>
      <left/>
      <right/>
      <top style="hair">
        <color auto="1"/>
      </top>
      <bottom/>
      <diagonal/>
    </border>
    <border>
      <left style="thin">
        <color auto="1"/>
      </left>
      <right/>
      <top style="hair">
        <color auto="1"/>
      </top>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theme="1"/>
      </left>
      <right style="thin">
        <color theme="1"/>
      </right>
      <top style="hair">
        <color auto="1"/>
      </top>
      <bottom/>
      <diagonal/>
    </border>
    <border>
      <left style="medium">
        <color theme="1"/>
      </left>
      <right style="medium">
        <color theme="1"/>
      </right>
      <top style="hair">
        <color auto="1"/>
      </top>
      <bottom/>
      <diagonal/>
    </border>
    <border>
      <left style="medium">
        <color theme="1"/>
      </left>
      <right style="medium">
        <color auto="1"/>
      </right>
      <top style="hair">
        <color auto="1"/>
      </top>
      <bottom/>
      <diagonal/>
    </border>
    <border>
      <left style="medium">
        <color auto="1"/>
      </left>
      <right/>
      <top style="hair">
        <color auto="1"/>
      </top>
      <bottom style="thin">
        <color auto="1"/>
      </bottom>
      <diagonal/>
    </border>
    <border>
      <left style="medium">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medium">
        <color theme="1"/>
      </left>
      <right style="thin">
        <color theme="1"/>
      </right>
      <top style="hair">
        <color auto="1"/>
      </top>
      <bottom style="thin">
        <color auto="1"/>
      </bottom>
      <diagonal/>
    </border>
    <border>
      <left style="medium">
        <color theme="1"/>
      </left>
      <right style="medium">
        <color theme="1"/>
      </right>
      <top style="hair">
        <color auto="1"/>
      </top>
      <bottom style="thin">
        <color auto="1"/>
      </bottom>
      <diagonal/>
    </border>
    <border>
      <left style="medium">
        <color theme="1"/>
      </left>
      <right style="medium">
        <color auto="1"/>
      </right>
      <top style="hair">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theme="1"/>
      </left>
      <right style="thin">
        <color theme="1"/>
      </right>
      <top/>
      <bottom/>
      <diagonal/>
    </border>
    <border>
      <left style="medium">
        <color theme="1"/>
      </left>
      <right style="medium">
        <color theme="1"/>
      </right>
      <top/>
      <bottom/>
      <diagonal/>
    </border>
    <border>
      <left style="medium">
        <color theme="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theme="1"/>
      </left>
      <right style="thin">
        <color theme="1"/>
      </right>
      <top/>
      <bottom style="thin">
        <color auto="1"/>
      </bottom>
      <diagonal/>
    </border>
    <border>
      <left style="medium">
        <color theme="1"/>
      </left>
      <right style="medium">
        <color theme="1"/>
      </right>
      <top/>
      <bottom style="thin">
        <color auto="1"/>
      </bottom>
      <diagonal/>
    </border>
    <border>
      <left style="medium">
        <color theme="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theme="1"/>
      </left>
      <right style="thin">
        <color theme="1"/>
      </right>
      <top style="thin">
        <color auto="1"/>
      </top>
      <bottom/>
      <diagonal/>
    </border>
    <border>
      <left style="medium">
        <color theme="1"/>
      </left>
      <right style="medium">
        <color theme="1"/>
      </right>
      <top style="thin">
        <color auto="1"/>
      </top>
      <bottom/>
      <diagonal/>
    </border>
    <border>
      <left style="medium">
        <color theme="1"/>
      </left>
      <right style="medium">
        <color auto="1"/>
      </right>
      <top style="thin">
        <color auto="1"/>
      </top>
      <bottom/>
      <diagonal/>
    </border>
    <border>
      <left style="medium">
        <color theme="1"/>
      </left>
      <right style="medium">
        <color auto="1"/>
      </right>
      <top/>
      <bottom style="hair">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theme="1"/>
      </left>
      <right style="thin">
        <color theme="1"/>
      </right>
      <top/>
      <bottom style="medium">
        <color auto="1"/>
      </bottom>
      <diagonal/>
    </border>
    <border>
      <left style="medium">
        <color theme="1"/>
      </left>
      <right style="medium">
        <color theme="1"/>
      </right>
      <top/>
      <bottom style="medium">
        <color auto="1"/>
      </bottom>
      <diagonal/>
    </border>
    <border>
      <left style="medium">
        <color theme="1"/>
      </left>
      <right style="medium">
        <color auto="1"/>
      </right>
      <top/>
      <bottom style="medium">
        <color auto="1"/>
      </bottom>
      <diagonal/>
    </border>
    <border>
      <left/>
      <right style="medium">
        <color auto="1"/>
      </right>
      <top/>
      <bottom style="medium">
        <color auto="1"/>
      </bottom>
      <diagonal/>
    </border>
    <border>
      <left style="thin">
        <color auto="1"/>
      </left>
      <right/>
      <top/>
      <bottom style="hair">
        <color auto="1"/>
      </bottom>
      <diagonal/>
    </border>
    <border>
      <left/>
      <right/>
      <top/>
      <bottom style="hair">
        <color auto="1"/>
      </bottom>
      <diagonal/>
    </border>
    <border>
      <left style="thin">
        <color theme="1"/>
      </left>
      <right style="thin">
        <color auto="1"/>
      </right>
      <top style="medium">
        <color auto="1"/>
      </top>
      <bottom style="thin">
        <color auto="1"/>
      </bottom>
      <diagonal/>
    </border>
    <border>
      <left style="thin">
        <color theme="1"/>
      </left>
      <right style="thin">
        <color auto="1"/>
      </right>
      <top style="hair">
        <color auto="1"/>
      </top>
      <bottom/>
      <diagonal/>
    </border>
    <border>
      <left/>
      <right style="thin">
        <color auto="1"/>
      </right>
      <top style="hair">
        <color auto="1"/>
      </top>
      <bottom/>
      <diagonal/>
    </border>
    <border>
      <left style="thin">
        <color theme="1"/>
      </left>
      <right style="thin">
        <color auto="1"/>
      </right>
      <top/>
      <bottom style="thin">
        <color auto="1"/>
      </bottom>
      <diagonal/>
    </border>
    <border>
      <left style="thin">
        <color theme="1"/>
      </left>
      <right style="thin">
        <color auto="1"/>
      </right>
      <top/>
      <bottom style="hair">
        <color auto="1"/>
      </bottom>
      <diagonal/>
    </border>
    <border>
      <left style="thin">
        <color auto="1"/>
      </left>
      <right style="thin">
        <color auto="1"/>
      </right>
      <top/>
      <bottom style="hair">
        <color auto="1"/>
      </bottom>
      <diagonal/>
    </border>
    <border>
      <left/>
      <right style="thin">
        <color auto="1"/>
      </right>
      <top/>
      <bottom style="hair">
        <color auto="1"/>
      </bottom>
      <diagonal/>
    </border>
    <border>
      <left/>
      <right style="medium">
        <color auto="1"/>
      </right>
      <top/>
      <bottom style="hair">
        <color auto="1"/>
      </bottom>
      <diagonal/>
    </border>
    <border>
      <left style="thin">
        <color theme="1"/>
      </left>
      <right style="thin">
        <color auto="1"/>
      </right>
      <top/>
      <bottom style="medium">
        <color auto="1"/>
      </bottom>
      <diagonal/>
    </border>
    <border>
      <left style="thin">
        <color auto="1"/>
      </left>
      <right/>
      <top style="thin">
        <color auto="1"/>
      </top>
      <bottom style="thin">
        <color auto="1"/>
      </bottom>
      <diagonal/>
    </border>
    <border>
      <left style="thin">
        <color auto="1"/>
      </left>
      <right style="thin">
        <color theme="1"/>
      </right>
      <top style="medium">
        <color auto="1"/>
      </top>
      <bottom style="thin">
        <color auto="1"/>
      </bottom>
      <diagonal/>
    </border>
    <border>
      <left style="thin">
        <color theme="1"/>
      </left>
      <right style="thin">
        <color theme="1"/>
      </right>
      <top style="medium">
        <color auto="1"/>
      </top>
      <bottom style="thin">
        <color auto="1"/>
      </bottom>
      <diagonal/>
    </border>
    <border>
      <left style="thin">
        <color theme="1"/>
      </left>
      <right style="thin">
        <color theme="1"/>
      </right>
      <top style="thin">
        <color auto="1"/>
      </top>
      <bottom style="hair">
        <color auto="1"/>
      </bottom>
      <diagonal/>
    </border>
    <border>
      <left style="thin">
        <color theme="1"/>
      </left>
      <right style="thin">
        <color theme="1"/>
      </right>
      <top style="hair">
        <color auto="1"/>
      </top>
      <bottom style="hair">
        <color auto="1"/>
      </bottom>
      <diagonal/>
    </border>
    <border>
      <left style="thin">
        <color auto="1"/>
      </left>
      <right style="thin">
        <color theme="1"/>
      </right>
      <top style="hair">
        <color auto="1"/>
      </top>
      <bottom/>
      <diagonal/>
    </border>
    <border>
      <left style="thin">
        <color theme="1"/>
      </left>
      <right style="thin">
        <color theme="1"/>
      </right>
      <top style="hair">
        <color auto="1"/>
      </top>
      <bottom/>
      <diagonal/>
    </border>
    <border>
      <left style="thin">
        <color theme="1"/>
      </left>
      <right style="thin">
        <color theme="1"/>
      </right>
      <top style="hair">
        <color auto="1"/>
      </top>
      <bottom style="thin">
        <color auto="1"/>
      </bottom>
      <diagonal/>
    </border>
    <border>
      <left style="thin">
        <color auto="1"/>
      </left>
      <right style="thin">
        <color theme="1"/>
      </right>
      <top/>
      <bottom style="thin">
        <color auto="1"/>
      </bottom>
      <diagonal/>
    </border>
    <border>
      <left style="thin">
        <color theme="1"/>
      </left>
      <right style="thin">
        <color theme="1"/>
      </right>
      <top/>
      <bottom style="thin">
        <color auto="1"/>
      </bottom>
      <diagonal/>
    </border>
    <border>
      <left style="thin">
        <color auto="1"/>
      </left>
      <right style="thin">
        <color theme="1"/>
      </right>
      <top/>
      <bottom style="hair">
        <color auto="1"/>
      </bottom>
      <diagonal/>
    </border>
    <border>
      <left style="thin">
        <color theme="1"/>
      </left>
      <right style="thin">
        <color theme="1"/>
      </right>
      <top/>
      <bottom style="hair">
        <color auto="1"/>
      </bottom>
      <diagonal/>
    </border>
    <border>
      <left style="thin">
        <color auto="1"/>
      </left>
      <right style="thin">
        <color theme="1"/>
      </right>
      <top/>
      <bottom style="medium">
        <color auto="1"/>
      </bottom>
      <diagonal/>
    </border>
    <border>
      <left style="thin">
        <color theme="1"/>
      </left>
      <right style="thin">
        <color theme="1"/>
      </right>
      <top/>
      <bottom style="medium">
        <color auto="1"/>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bottom/>
      <diagonal/>
    </border>
    <border>
      <left style="thin">
        <color auto="1"/>
      </left>
      <right style="double">
        <color auto="1"/>
      </right>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right/>
      <top style="thin">
        <color auto="1"/>
      </top>
      <bottom style="thin">
        <color indexed="64"/>
      </bottom>
      <diagonal/>
    </border>
    <border>
      <left/>
      <right style="thin">
        <color auto="1"/>
      </right>
      <top style="thin">
        <color auto="1"/>
      </top>
      <bottom style="thin">
        <color indexed="64"/>
      </bottom>
      <diagonal/>
    </border>
    <border>
      <left style="double">
        <color auto="1"/>
      </left>
      <right/>
      <top style="thin">
        <color auto="1"/>
      </top>
      <bottom style="thin">
        <color auto="1"/>
      </bottom>
      <diagonal/>
    </border>
    <border>
      <left style="double">
        <color auto="1"/>
      </left>
      <right/>
      <top/>
      <bottom/>
      <diagonal/>
    </border>
    <border>
      <left style="double">
        <color auto="1"/>
      </left>
      <right/>
      <top/>
      <bottom style="thin">
        <color auto="1"/>
      </bottom>
      <diagonal/>
    </border>
    <border>
      <left/>
      <right style="double">
        <color auto="1"/>
      </right>
      <top style="thin">
        <color auto="1"/>
      </top>
      <bottom style="thin">
        <color auto="1"/>
      </bottom>
      <diagonal/>
    </border>
    <border>
      <left/>
      <right style="double">
        <color auto="1"/>
      </right>
      <top/>
      <bottom/>
      <diagonal/>
    </border>
    <border>
      <left/>
      <right style="double">
        <color auto="1"/>
      </right>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indexed="64"/>
      </bottom>
      <diagonal/>
    </border>
    <border>
      <left style="double">
        <color auto="1"/>
      </left>
      <right/>
      <top/>
      <bottom style="thin">
        <color theme="0" tint="-0.34998626667073579"/>
      </bottom>
      <diagonal/>
    </border>
    <border>
      <left style="thin">
        <color auto="1"/>
      </left>
      <right style="thin">
        <color auto="1"/>
      </right>
      <top/>
      <bottom style="thin">
        <color theme="0" tint="-0.34998626667073579"/>
      </bottom>
      <diagonal/>
    </border>
    <border>
      <left/>
      <right style="thin">
        <color auto="1"/>
      </right>
      <top/>
      <bottom style="thin">
        <color theme="0" tint="-0.34998626667073579"/>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theme="1" tint="0.14996795556505021"/>
      </left>
      <right style="thin">
        <color theme="0"/>
      </right>
      <top style="thin">
        <color theme="1" tint="0.14996795556505021"/>
      </top>
      <bottom style="thin">
        <color theme="0"/>
      </bottom>
      <diagonal/>
    </border>
    <border>
      <left style="thin">
        <color theme="0"/>
      </left>
      <right style="thin">
        <color theme="0"/>
      </right>
      <top style="thin">
        <color theme="1" tint="0.14996795556505021"/>
      </top>
      <bottom style="thin">
        <color theme="0"/>
      </bottom>
      <diagonal/>
    </border>
    <border>
      <left style="thin">
        <color theme="0"/>
      </left>
      <right style="thin">
        <color theme="1" tint="0.14996795556505021"/>
      </right>
      <top style="thin">
        <color theme="1" tint="0.14996795556505021"/>
      </top>
      <bottom style="thin">
        <color theme="0"/>
      </bottom>
      <diagonal/>
    </border>
    <border>
      <left style="thin">
        <color theme="1" tint="0.1499679555650502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tint="0.14996795556505021"/>
      </right>
      <top style="thin">
        <color theme="0"/>
      </top>
      <bottom style="thin">
        <color theme="0"/>
      </bottom>
      <diagonal/>
    </border>
    <border>
      <left style="thin">
        <color theme="1" tint="0.14996795556505021"/>
      </left>
      <right style="thin">
        <color theme="0"/>
      </right>
      <top style="thin">
        <color theme="0"/>
      </top>
      <bottom style="thin">
        <color theme="1" tint="0.14996795556505021"/>
      </bottom>
      <diagonal/>
    </border>
    <border>
      <left style="thin">
        <color theme="0"/>
      </left>
      <right style="thin">
        <color theme="0"/>
      </right>
      <top style="thin">
        <color theme="0"/>
      </top>
      <bottom style="thin">
        <color theme="1" tint="0.14996795556505021"/>
      </bottom>
      <diagonal/>
    </border>
    <border>
      <left style="thin">
        <color theme="0"/>
      </left>
      <right style="thin">
        <color theme="1" tint="0.14996795556505021"/>
      </right>
      <top style="thin">
        <color theme="0"/>
      </top>
      <bottom style="thin">
        <color theme="1" tint="0.14996795556505021"/>
      </bottom>
      <diagonal/>
    </border>
    <border>
      <left style="thin">
        <color theme="1" tint="0.14996795556505021"/>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1" tint="0.14996795556505021"/>
      </right>
      <top/>
      <bottom style="thin">
        <color theme="0"/>
      </bottom>
      <diagonal/>
    </border>
    <border>
      <left/>
      <right style="thin">
        <color auto="1"/>
      </right>
      <top style="thin">
        <color theme="0" tint="-0.34998626667073579"/>
      </top>
      <bottom style="dashed">
        <color theme="1"/>
      </bottom>
      <diagonal/>
    </border>
    <border>
      <left/>
      <right/>
      <top style="thin">
        <color theme="0" tint="-0.34998626667073579"/>
      </top>
      <bottom style="thin">
        <color theme="0" tint="-0.34998626667073579"/>
      </bottom>
      <diagonal/>
    </border>
    <border>
      <left/>
      <right/>
      <top style="thin">
        <color theme="0" tint="-0.34998626667073579"/>
      </top>
      <bottom style="dashed">
        <color theme="1"/>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style="thin">
        <color auto="1"/>
      </right>
      <top style="dashed">
        <color auto="1"/>
      </top>
      <bottom style="thin">
        <color auto="1"/>
      </bottom>
      <diagonal/>
    </border>
    <border>
      <left style="thin">
        <color indexed="64"/>
      </left>
      <right/>
      <top style="thin">
        <color theme="0" tint="-0.34998626667073579"/>
      </top>
      <bottom style="thin">
        <color theme="0" tint="-0.34998626667073579"/>
      </bottom>
      <diagonal/>
    </border>
    <border>
      <left style="thin">
        <color auto="1"/>
      </left>
      <right/>
      <top style="thin">
        <color auto="1"/>
      </top>
      <bottom style="thin">
        <color theme="0" tint="-0.34998626667073579"/>
      </bottom>
      <diagonal/>
    </border>
    <border>
      <left style="thin">
        <color auto="1"/>
      </left>
      <right/>
      <top style="thin">
        <color theme="0" tint="-0.34998626667073579"/>
      </top>
      <bottom style="thin">
        <color auto="1"/>
      </bottom>
      <diagonal/>
    </border>
    <border>
      <left/>
      <right style="medium">
        <color auto="1"/>
      </right>
      <top style="medium">
        <color auto="1"/>
      </top>
      <bottom/>
      <diagonal/>
    </border>
    <border>
      <left/>
      <right/>
      <top style="medium">
        <color auto="1"/>
      </top>
      <bottom/>
      <diagonal/>
    </border>
    <border>
      <left style="thin">
        <color auto="1"/>
      </left>
      <right style="medium">
        <color auto="1"/>
      </right>
      <top/>
      <bottom style="hair">
        <color auto="1"/>
      </bottom>
      <diagonal/>
    </border>
    <border>
      <left style="medium">
        <color auto="1"/>
      </left>
      <right style="medium">
        <color auto="1"/>
      </right>
      <top/>
      <bottom style="dotted">
        <color auto="1"/>
      </bottom>
      <diagonal/>
    </border>
    <border>
      <left/>
      <right style="medium">
        <color auto="1"/>
      </right>
      <top/>
      <bottom style="dotted">
        <color auto="1"/>
      </bottom>
      <diagonal/>
    </border>
    <border>
      <left style="medium">
        <color auto="1"/>
      </left>
      <right style="thin">
        <color auto="1"/>
      </right>
      <top/>
      <bottom style="dotted">
        <color auto="1"/>
      </bottom>
      <diagonal/>
    </border>
    <border>
      <left/>
      <right style="thin">
        <color auto="1"/>
      </right>
      <top/>
      <bottom style="dotted">
        <color auto="1"/>
      </bottom>
      <diagonal/>
    </border>
    <border>
      <left/>
      <right/>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dashed">
        <color auto="1"/>
      </bottom>
      <diagonal/>
    </border>
    <border>
      <left/>
      <right style="thin">
        <color auto="1"/>
      </right>
      <top/>
      <bottom style="dashed">
        <color auto="1"/>
      </bottom>
      <diagonal/>
    </border>
    <border>
      <left/>
      <right/>
      <top/>
      <bottom style="dashed">
        <color auto="1"/>
      </bottom>
      <diagonal/>
    </border>
    <border>
      <left style="medium">
        <color auto="1"/>
      </left>
      <right style="medium">
        <color auto="1"/>
      </right>
      <top style="dashed">
        <color auto="1"/>
      </top>
      <bottom/>
      <diagonal/>
    </border>
    <border>
      <left style="thin">
        <color auto="1"/>
      </left>
      <right style="medium">
        <color auto="1"/>
      </right>
      <top/>
      <bottom style="dotted">
        <color auto="1"/>
      </bottom>
      <diagonal/>
    </border>
    <border>
      <left style="thin">
        <color auto="1"/>
      </left>
      <right style="thin">
        <color auto="1"/>
      </right>
      <top style="thin">
        <color theme="0" tint="-0.34998626667073579"/>
      </top>
      <bottom style="dashed">
        <color theme="1"/>
      </bottom>
      <diagonal/>
    </border>
    <border>
      <left style="thin">
        <color indexed="64"/>
      </left>
      <right style="thin">
        <color indexed="64"/>
      </right>
      <top/>
      <bottom style="dashed">
        <color indexed="64"/>
      </bottom>
      <diagonal/>
    </border>
    <border>
      <left style="thin">
        <color indexed="64"/>
      </left>
      <right style="thin">
        <color indexed="64"/>
      </right>
      <top style="thin">
        <color theme="0" tint="-0.34998626667073579"/>
      </top>
      <bottom style="dashed">
        <color indexed="64"/>
      </bottom>
      <diagonal/>
    </border>
    <border>
      <left style="thin">
        <color auto="1"/>
      </left>
      <right style="thin">
        <color auto="1"/>
      </right>
      <top style="thin">
        <color theme="0" tint="-0.24994659260841701"/>
      </top>
      <bottom style="dashed">
        <color auto="1"/>
      </bottom>
      <diagonal/>
    </border>
    <border>
      <left style="double">
        <color auto="1"/>
      </left>
      <right/>
      <top style="thin">
        <color theme="0" tint="-0.34998626667073579"/>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theme="0" tint="-0.24994659260841701"/>
      </top>
      <bottom style="thin">
        <color auto="1"/>
      </bottom>
      <diagonal/>
    </border>
    <border>
      <left style="thin">
        <color auto="1"/>
      </left>
      <right style="hair">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thin">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theme="8" tint="0.79998168889431442"/>
      </top>
      <bottom style="thin">
        <color theme="0" tint="-0.34998626667073579"/>
      </bottom>
      <diagonal/>
    </border>
    <border>
      <left/>
      <right/>
      <top style="thin">
        <color theme="8" tint="0.79998168889431442"/>
      </top>
      <bottom style="thin">
        <color theme="0" tint="-0.34998626667073579"/>
      </bottom>
      <diagonal/>
    </border>
    <border>
      <left/>
      <right/>
      <top/>
      <bottom style="thin">
        <color theme="0" tint="-0.34998626667073579"/>
      </bottom>
      <diagonal/>
    </border>
    <border>
      <left style="thin">
        <color indexed="64"/>
      </left>
      <right/>
      <top style="thin">
        <color theme="0" tint="-0.34998626667073579"/>
      </top>
      <bottom/>
      <diagonal/>
    </border>
    <border>
      <left style="thin">
        <color indexed="64"/>
      </left>
      <right style="thin">
        <color indexed="64"/>
      </right>
      <top style="thin">
        <color theme="0" tint="-0.34998626667073579"/>
      </top>
      <bottom/>
      <diagonal/>
    </border>
    <border>
      <left style="medium">
        <color indexed="64"/>
      </left>
      <right/>
      <top style="thin">
        <color theme="0"/>
      </top>
      <bottom style="thin">
        <color theme="0" tint="-0.34998626667073579"/>
      </bottom>
      <diagonal/>
    </border>
    <border>
      <left style="thin">
        <color indexed="64"/>
      </left>
      <right style="thin">
        <color indexed="64"/>
      </right>
      <top style="thin">
        <color theme="0"/>
      </top>
      <bottom style="thin">
        <color theme="0" tint="-0.34998626667073579"/>
      </bottom>
      <diagonal/>
    </border>
    <border>
      <left style="thin">
        <color indexed="64"/>
      </left>
      <right/>
      <top style="thin">
        <color theme="0"/>
      </top>
      <bottom style="thin">
        <color theme="0" tint="-0.34998626667073579"/>
      </bottom>
      <diagonal/>
    </border>
    <border>
      <left/>
      <right style="medium">
        <color indexed="64"/>
      </right>
      <top style="thin">
        <color theme="0"/>
      </top>
      <bottom style="thin">
        <color theme="0" tint="-0.34998626667073579"/>
      </bottom>
      <diagonal/>
    </border>
    <border>
      <left style="thin">
        <color indexed="64"/>
      </left>
      <right style="medium">
        <color indexed="64"/>
      </right>
      <top style="thin">
        <color theme="0"/>
      </top>
      <bottom style="thin">
        <color theme="0" tint="-0.34998626667073579"/>
      </bottom>
      <diagonal/>
    </border>
    <border>
      <left style="medium">
        <color indexed="64"/>
      </left>
      <right/>
      <top style="thin">
        <color theme="0" tint="-0.34998626667073579"/>
      </top>
      <bottom/>
      <diagonal/>
    </border>
    <border>
      <left/>
      <right/>
      <top style="thin">
        <color theme="0" tint="-0.34998626667073579"/>
      </top>
      <bottom/>
      <diagonal/>
    </border>
    <border>
      <left/>
      <right style="medium">
        <color indexed="64"/>
      </right>
      <top style="thin">
        <color theme="0" tint="-0.34998626667073579"/>
      </top>
      <bottom/>
      <diagonal/>
    </border>
    <border>
      <left style="medium">
        <color indexed="64"/>
      </left>
      <right/>
      <top style="thin">
        <color theme="0"/>
      </top>
      <bottom/>
      <diagonal/>
    </border>
    <border>
      <left style="thin">
        <color indexed="64"/>
      </left>
      <right style="thin">
        <color indexed="64"/>
      </right>
      <top style="thin">
        <color theme="0"/>
      </top>
      <bottom/>
      <diagonal/>
    </border>
    <border>
      <left/>
      <right/>
      <top style="thin">
        <color theme="0"/>
      </top>
      <bottom/>
      <diagonal/>
    </border>
    <border>
      <left/>
      <right style="medium">
        <color indexed="64"/>
      </right>
      <top style="thin">
        <color theme="0"/>
      </top>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top style="thin">
        <color theme="0"/>
      </top>
      <bottom style="thin">
        <color indexed="64"/>
      </bottom>
      <diagonal/>
    </border>
    <border>
      <left/>
      <right style="medium">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right/>
      <top style="thin">
        <color theme="0"/>
      </top>
      <bottom style="thin">
        <color theme="0" tint="-0.34998626667073579"/>
      </bottom>
      <diagonal/>
    </border>
    <border>
      <left style="medium">
        <color indexed="64"/>
      </left>
      <right/>
      <top style="thin">
        <color theme="0"/>
      </top>
      <bottom style="medium">
        <color indexed="64"/>
      </bottom>
      <diagonal/>
    </border>
    <border>
      <left style="thin">
        <color indexed="64"/>
      </left>
      <right style="thin">
        <color indexed="64"/>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right/>
      <top/>
      <bottom style="medium">
        <color theme="1"/>
      </bottom>
      <diagonal/>
    </border>
    <border>
      <left style="thin">
        <color auto="1"/>
      </left>
      <right style="thin">
        <color auto="1"/>
      </right>
      <top/>
      <bottom style="medium">
        <color theme="1"/>
      </bottom>
      <diagonal/>
    </border>
    <border>
      <left style="thin">
        <color auto="1"/>
      </left>
      <right style="medium">
        <color auto="1"/>
      </right>
      <top style="thin">
        <color auto="1"/>
      </top>
      <bottom style="thin">
        <color indexed="64"/>
      </bottom>
      <diagonal/>
    </border>
    <border>
      <left/>
      <right style="medium">
        <color auto="1"/>
      </right>
      <top style="thin">
        <color indexed="64"/>
      </top>
      <bottom style="medium">
        <color auto="1"/>
      </bottom>
      <diagonal/>
    </border>
    <border>
      <left/>
      <right style="medium">
        <color auto="1"/>
      </right>
      <top style="thin">
        <color auto="1"/>
      </top>
      <bottom style="thin">
        <color indexed="64"/>
      </bottom>
      <diagonal/>
    </border>
    <border>
      <left style="thin">
        <color auto="1"/>
      </left>
      <right/>
      <top style="medium">
        <color auto="1"/>
      </top>
      <bottom/>
      <diagonal/>
    </border>
    <border>
      <left/>
      <right/>
      <top style="thin">
        <color indexed="64"/>
      </top>
      <bottom style="thin">
        <color theme="0" tint="-0.34998626667073579"/>
      </bottom>
      <diagonal/>
    </border>
  </borders>
  <cellStyleXfs count="23">
    <xf numFmtId="0" fontId="0" fillId="0" borderId="0"/>
    <xf numFmtId="0" fontId="1" fillId="0" borderId="0"/>
    <xf numFmtId="0" fontId="6" fillId="0" borderId="0" applyNumberFormat="0" applyFill="0" applyBorder="0" applyAlignment="0" applyProtection="0"/>
    <xf numFmtId="0" fontId="7" fillId="0" borderId="0"/>
    <xf numFmtId="38" fontId="7" fillId="0" borderId="0" applyFont="0" applyFill="0" applyBorder="0" applyAlignment="0" applyProtection="0"/>
    <xf numFmtId="164" fontId="7" fillId="0" borderId="0" applyFont="0" applyFill="0" applyBorder="0" applyAlignment="0" applyProtection="0">
      <alignment vertical="center"/>
    </xf>
    <xf numFmtId="0" fontId="17" fillId="0" borderId="0"/>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0" fontId="23" fillId="0" borderId="0"/>
    <xf numFmtId="9" fontId="29" fillId="0" borderId="0" applyFont="0" applyFill="0" applyBorder="0" applyAlignment="0" applyProtection="0"/>
    <xf numFmtId="0" fontId="29" fillId="0" borderId="0"/>
    <xf numFmtId="9" fontId="13" fillId="0" borderId="0" applyFont="0" applyFill="0" applyBorder="0" applyAlignment="0" applyProtection="0"/>
    <xf numFmtId="0" fontId="7" fillId="0" borderId="0">
      <alignment vertical="center"/>
    </xf>
    <xf numFmtId="9" fontId="41" fillId="0" borderId="0" applyFont="0" applyFill="0" applyBorder="0" applyAlignment="0" applyProtection="0"/>
    <xf numFmtId="0" fontId="47" fillId="0" borderId="0"/>
    <xf numFmtId="0" fontId="48" fillId="0" borderId="0">
      <alignment vertical="center"/>
    </xf>
    <xf numFmtId="0" fontId="13" fillId="0" borderId="0"/>
    <xf numFmtId="0" fontId="48" fillId="0" borderId="0">
      <alignment vertical="center"/>
    </xf>
    <xf numFmtId="0" fontId="41" fillId="0" borderId="0"/>
    <xf numFmtId="0" fontId="61" fillId="0" borderId="0" applyNumberFormat="0" applyFill="0" applyBorder="0" applyAlignment="0" applyProtection="0"/>
    <xf numFmtId="9" fontId="1" fillId="0" borderId="0" applyFont="0" applyFill="0" applyBorder="0" applyAlignment="0" applyProtection="0"/>
    <xf numFmtId="0" fontId="1" fillId="0" borderId="0"/>
  </cellStyleXfs>
  <cellXfs count="1375">
    <xf numFmtId="0" fontId="0" fillId="0" borderId="0" xfId="0"/>
    <xf numFmtId="0" fontId="2" fillId="2" borderId="1" xfId="1" applyFont="1" applyFill="1" applyBorder="1" applyAlignment="1">
      <alignment horizontal="center" vertical="center"/>
    </xf>
    <xf numFmtId="0" fontId="3" fillId="3" borderId="0" xfId="1" applyFont="1" applyFill="1"/>
    <xf numFmtId="0" fontId="4" fillId="4" borderId="2" xfId="1" applyFont="1" applyFill="1" applyBorder="1" applyAlignment="1">
      <alignment horizontal="center" vertical="center"/>
    </xf>
    <xf numFmtId="0" fontId="5" fillId="3" borderId="3" xfId="1" applyFont="1" applyFill="1" applyBorder="1"/>
    <xf numFmtId="0" fontId="6" fillId="3" borderId="3" xfId="2" applyFill="1" applyBorder="1"/>
    <xf numFmtId="0" fontId="4" fillId="4" borderId="3" xfId="1" applyFont="1" applyFill="1" applyBorder="1" applyAlignment="1">
      <alignment horizontal="center" vertical="center"/>
    </xf>
    <xf numFmtId="0" fontId="5" fillId="3" borderId="4" xfId="1" applyFont="1" applyFill="1" applyBorder="1"/>
    <xf numFmtId="0" fontId="8" fillId="0" borderId="0" xfId="3" applyFont="1"/>
    <xf numFmtId="0" fontId="9" fillId="0" borderId="0" xfId="3" applyFont="1"/>
    <xf numFmtId="0" fontId="10" fillId="0" borderId="0" xfId="3" applyFont="1"/>
    <xf numFmtId="0" fontId="11" fillId="0" borderId="0" xfId="3" applyFont="1"/>
    <xf numFmtId="0" fontId="9" fillId="0" borderId="5" xfId="3" applyFont="1" applyBorder="1"/>
    <xf numFmtId="0" fontId="9" fillId="0" borderId="6" xfId="3" applyFont="1" applyBorder="1"/>
    <xf numFmtId="0" fontId="9" fillId="0" borderId="7" xfId="3" applyFont="1" applyBorder="1" applyAlignment="1">
      <alignment horizontal="center"/>
    </xf>
    <xf numFmtId="0" fontId="9" fillId="0" borderId="8" xfId="3" applyFont="1" applyBorder="1" applyAlignment="1">
      <alignment horizontal="center"/>
    </xf>
    <xf numFmtId="0" fontId="9" fillId="0" borderId="9" xfId="3" applyFont="1" applyBorder="1" applyAlignment="1">
      <alignment horizontal="center"/>
    </xf>
    <xf numFmtId="0" fontId="9" fillId="0" borderId="10" xfId="3" applyFont="1" applyBorder="1" applyAlignment="1">
      <alignment horizontal="center"/>
    </xf>
    <xf numFmtId="0" fontId="9" fillId="0" borderId="11" xfId="3" applyFont="1" applyBorder="1" applyAlignment="1">
      <alignment horizontal="center"/>
    </xf>
    <xf numFmtId="0" fontId="9" fillId="0" borderId="12" xfId="3" applyFont="1" applyBorder="1" applyAlignment="1">
      <alignment vertical="center"/>
    </xf>
    <xf numFmtId="0" fontId="9" fillId="0" borderId="3" xfId="3" applyFont="1" applyBorder="1" applyAlignment="1">
      <alignment vertical="center" wrapText="1"/>
    </xf>
    <xf numFmtId="3" fontId="9" fillId="0" borderId="0" xfId="3" applyNumberFormat="1" applyFont="1" applyAlignment="1">
      <alignment vertical="center"/>
    </xf>
    <xf numFmtId="3" fontId="9" fillId="0" borderId="13" xfId="3" applyNumberFormat="1" applyFont="1" applyBorder="1" applyAlignment="1">
      <alignment vertical="center"/>
    </xf>
    <xf numFmtId="3" fontId="9" fillId="0" borderId="14" xfId="3" applyNumberFormat="1" applyFont="1" applyBorder="1" applyAlignment="1">
      <alignment vertical="center"/>
    </xf>
    <xf numFmtId="0" fontId="9" fillId="0" borderId="17" xfId="3" applyFont="1" applyBorder="1"/>
    <xf numFmtId="3" fontId="9" fillId="0" borderId="18" xfId="3" applyNumberFormat="1" applyFont="1" applyBorder="1"/>
    <xf numFmtId="3" fontId="9" fillId="0" borderId="19" xfId="3" applyNumberFormat="1" applyFont="1" applyBorder="1"/>
    <xf numFmtId="3" fontId="9" fillId="0" borderId="20" xfId="3" applyNumberFormat="1" applyFont="1" applyBorder="1"/>
    <xf numFmtId="0" fontId="9" fillId="0" borderId="22" xfId="3" applyFont="1" applyBorder="1"/>
    <xf numFmtId="3" fontId="9" fillId="0" borderId="23" xfId="3" applyNumberFormat="1" applyFont="1" applyBorder="1"/>
    <xf numFmtId="3" fontId="9" fillId="0" borderId="24" xfId="3" applyNumberFormat="1" applyFont="1" applyBorder="1"/>
    <xf numFmtId="3" fontId="9" fillId="0" borderId="25" xfId="3" applyNumberFormat="1" applyFont="1" applyBorder="1"/>
    <xf numFmtId="0" fontId="9" fillId="0" borderId="26" xfId="3" applyFont="1" applyBorder="1"/>
    <xf numFmtId="3" fontId="9" fillId="0" borderId="27" xfId="3" applyNumberFormat="1" applyFont="1" applyBorder="1"/>
    <xf numFmtId="3" fontId="9" fillId="0" borderId="28" xfId="3" applyNumberFormat="1" applyFont="1" applyBorder="1"/>
    <xf numFmtId="3" fontId="9" fillId="0" borderId="29" xfId="3" applyNumberFormat="1" applyFont="1" applyBorder="1"/>
    <xf numFmtId="3" fontId="9" fillId="0" borderId="31" xfId="3" applyNumberFormat="1" applyFont="1" applyBorder="1"/>
    <xf numFmtId="3" fontId="9" fillId="0" borderId="32" xfId="3" applyNumberFormat="1" applyFont="1" applyBorder="1"/>
    <xf numFmtId="3" fontId="9" fillId="0" borderId="33" xfId="3" applyNumberFormat="1" applyFont="1" applyBorder="1"/>
    <xf numFmtId="0" fontId="12" fillId="0" borderId="0" xfId="3" applyFont="1"/>
    <xf numFmtId="0" fontId="9" fillId="0" borderId="34" xfId="3" applyFont="1" applyBorder="1"/>
    <xf numFmtId="3" fontId="9" fillId="0" borderId="35" xfId="3" applyNumberFormat="1" applyFont="1" applyBorder="1"/>
    <xf numFmtId="3" fontId="9" fillId="0" borderId="36" xfId="3" applyNumberFormat="1" applyFont="1" applyBorder="1"/>
    <xf numFmtId="3" fontId="9" fillId="0" borderId="37" xfId="3" applyNumberFormat="1" applyFont="1" applyBorder="1"/>
    <xf numFmtId="3" fontId="9" fillId="5" borderId="19" xfId="3" applyNumberFormat="1" applyFont="1" applyFill="1" applyBorder="1"/>
    <xf numFmtId="3" fontId="9" fillId="5" borderId="36" xfId="3" applyNumberFormat="1" applyFont="1" applyFill="1" applyBorder="1"/>
    <xf numFmtId="0" fontId="9" fillId="0" borderId="3" xfId="3" applyFont="1" applyBorder="1"/>
    <xf numFmtId="3" fontId="9" fillId="0" borderId="0" xfId="3" applyNumberFormat="1" applyFont="1"/>
    <xf numFmtId="3" fontId="9" fillId="0" borderId="13" xfId="3" applyNumberFormat="1" applyFont="1" applyBorder="1"/>
    <xf numFmtId="3" fontId="9" fillId="0" borderId="14" xfId="3" applyNumberFormat="1" applyFont="1" applyBorder="1"/>
    <xf numFmtId="0" fontId="9" fillId="0" borderId="4" xfId="3" applyFont="1" applyBorder="1"/>
    <xf numFmtId="3" fontId="9" fillId="0" borderId="38" xfId="3" applyNumberFormat="1" applyFont="1" applyBorder="1"/>
    <xf numFmtId="3" fontId="9" fillId="0" borderId="39" xfId="3" applyNumberFormat="1" applyFont="1" applyBorder="1"/>
    <xf numFmtId="3" fontId="9" fillId="0" borderId="40" xfId="3" applyNumberFormat="1" applyFont="1" applyBorder="1"/>
    <xf numFmtId="3" fontId="9" fillId="5" borderId="41" xfId="3" applyNumberFormat="1" applyFont="1" applyFill="1" applyBorder="1"/>
    <xf numFmtId="38" fontId="9" fillId="0" borderId="0" xfId="4" applyFont="1" applyFill="1" applyBorder="1"/>
    <xf numFmtId="38" fontId="9" fillId="0" borderId="0" xfId="4" applyFont="1" applyFill="1" applyBorder="1" applyAlignment="1">
      <alignment horizontal="center"/>
    </xf>
    <xf numFmtId="0" fontId="13" fillId="0" borderId="0" xfId="3" applyFont="1"/>
    <xf numFmtId="38" fontId="9" fillId="0" borderId="0" xfId="3" applyNumberFormat="1" applyFont="1"/>
    <xf numFmtId="38" fontId="9" fillId="0" borderId="19" xfId="4" applyFont="1" applyBorder="1"/>
    <xf numFmtId="38" fontId="9" fillId="0" borderId="19" xfId="4" applyFont="1" applyFill="1" applyBorder="1"/>
    <xf numFmtId="38" fontId="9" fillId="0" borderId="18" xfId="4" applyFont="1" applyFill="1" applyBorder="1"/>
    <xf numFmtId="38" fontId="9" fillId="0" borderId="20" xfId="4" applyFont="1" applyFill="1" applyBorder="1"/>
    <xf numFmtId="38" fontId="9" fillId="0" borderId="45" xfId="4" applyFont="1" applyFill="1" applyBorder="1"/>
    <xf numFmtId="38" fontId="9" fillId="0" borderId="32" xfId="4" applyFont="1" applyFill="1" applyBorder="1"/>
    <xf numFmtId="38" fontId="9" fillId="0" borderId="33" xfId="4" applyFont="1" applyFill="1" applyBorder="1"/>
    <xf numFmtId="38" fontId="9" fillId="0" borderId="46" xfId="4" applyFont="1" applyFill="1" applyBorder="1"/>
    <xf numFmtId="38" fontId="9" fillId="0" borderId="47" xfId="4" applyFont="1" applyFill="1" applyBorder="1"/>
    <xf numFmtId="38" fontId="9" fillId="0" borderId="48" xfId="4" applyFont="1" applyFill="1" applyBorder="1"/>
    <xf numFmtId="38" fontId="9" fillId="0" borderId="24" xfId="4" applyFont="1" applyBorder="1"/>
    <xf numFmtId="38" fontId="9" fillId="0" borderId="24" xfId="4" applyFont="1" applyFill="1" applyBorder="1"/>
    <xf numFmtId="38" fontId="9" fillId="0" borderId="23" xfId="4" applyFont="1" applyFill="1" applyBorder="1"/>
    <xf numFmtId="38" fontId="9" fillId="0" borderId="25" xfId="4" applyFont="1" applyFill="1" applyBorder="1"/>
    <xf numFmtId="38" fontId="9" fillId="0" borderId="50" xfId="4" applyFont="1" applyFill="1" applyBorder="1"/>
    <xf numFmtId="38" fontId="9" fillId="0" borderId="51" xfId="4" applyFont="1" applyFill="1" applyBorder="1"/>
    <xf numFmtId="38" fontId="9" fillId="0" borderId="52" xfId="4" applyFont="1" applyFill="1" applyBorder="1"/>
    <xf numFmtId="38" fontId="9" fillId="0" borderId="28" xfId="4" applyFont="1" applyBorder="1"/>
    <xf numFmtId="38" fontId="9" fillId="0" borderId="28" xfId="4" applyFont="1" applyFill="1" applyBorder="1"/>
    <xf numFmtId="38" fontId="9" fillId="0" borderId="27" xfId="4" applyFont="1" applyFill="1" applyBorder="1"/>
    <xf numFmtId="38" fontId="9" fillId="0" borderId="29" xfId="4" applyFont="1" applyFill="1" applyBorder="1"/>
    <xf numFmtId="38" fontId="9" fillId="0" borderId="54" xfId="4" applyFont="1" applyFill="1" applyBorder="1"/>
    <xf numFmtId="38" fontId="9" fillId="0" borderId="36" xfId="4" applyFont="1" applyFill="1" applyBorder="1"/>
    <xf numFmtId="38" fontId="9" fillId="0" borderId="56" xfId="4" applyFont="1" applyFill="1" applyBorder="1"/>
    <xf numFmtId="38" fontId="9" fillId="0" borderId="57" xfId="4" applyFont="1" applyFill="1" applyBorder="1"/>
    <xf numFmtId="38" fontId="9" fillId="0" borderId="13" xfId="4" applyFont="1" applyBorder="1"/>
    <xf numFmtId="38" fontId="9" fillId="0" borderId="13" xfId="4" applyFont="1" applyFill="1" applyBorder="1"/>
    <xf numFmtId="38" fontId="9" fillId="0" borderId="14" xfId="4" applyFont="1" applyFill="1" applyBorder="1"/>
    <xf numFmtId="38" fontId="9" fillId="0" borderId="39" xfId="4" applyFont="1" applyBorder="1"/>
    <xf numFmtId="38" fontId="9" fillId="0" borderId="39" xfId="4" applyFont="1" applyFill="1" applyBorder="1"/>
    <xf numFmtId="38" fontId="9" fillId="0" borderId="38" xfId="4" applyFont="1" applyFill="1" applyBorder="1"/>
    <xf numFmtId="38" fontId="9" fillId="0" borderId="40" xfId="4" applyFont="1" applyFill="1" applyBorder="1"/>
    <xf numFmtId="0" fontId="9" fillId="3" borderId="0" xfId="3" applyFont="1" applyFill="1"/>
    <xf numFmtId="38" fontId="15" fillId="0" borderId="0" xfId="4" applyFont="1" applyFill="1" applyBorder="1"/>
    <xf numFmtId="38" fontId="16" fillId="0" borderId="0" xfId="4" applyFont="1" applyBorder="1"/>
    <xf numFmtId="0" fontId="9" fillId="0" borderId="63" xfId="3" applyFont="1" applyBorder="1"/>
    <xf numFmtId="0" fontId="9" fillId="0" borderId="64" xfId="3" applyFont="1" applyBorder="1"/>
    <xf numFmtId="0" fontId="9" fillId="3" borderId="63" xfId="3" applyFont="1" applyFill="1" applyBorder="1"/>
    <xf numFmtId="3" fontId="9" fillId="0" borderId="63" xfId="3" applyNumberFormat="1" applyFont="1" applyBorder="1"/>
    <xf numFmtId="3" fontId="9" fillId="3" borderId="63" xfId="3" applyNumberFormat="1" applyFont="1" applyFill="1" applyBorder="1"/>
    <xf numFmtId="0" fontId="13" fillId="0" borderId="63" xfId="3" applyFont="1" applyBorder="1"/>
    <xf numFmtId="0" fontId="18" fillId="0" borderId="0" xfId="3" applyFont="1"/>
    <xf numFmtId="0" fontId="13" fillId="3" borderId="63" xfId="3" applyFont="1" applyFill="1" applyBorder="1"/>
    <xf numFmtId="38" fontId="9" fillId="0" borderId="63" xfId="3" applyNumberFormat="1" applyFont="1" applyBorder="1"/>
    <xf numFmtId="38" fontId="9" fillId="3" borderId="63" xfId="3" applyNumberFormat="1" applyFont="1" applyFill="1" applyBorder="1"/>
    <xf numFmtId="3" fontId="13" fillId="3" borderId="63" xfId="3" applyNumberFormat="1" applyFont="1" applyFill="1" applyBorder="1"/>
    <xf numFmtId="0" fontId="9" fillId="3" borderId="63" xfId="3" applyFont="1" applyFill="1" applyBorder="1" applyAlignment="1">
      <alignment horizontal="right"/>
    </xf>
    <xf numFmtId="38" fontId="19" fillId="3" borderId="63" xfId="6" applyNumberFormat="1" applyFont="1" applyFill="1" applyBorder="1"/>
    <xf numFmtId="38" fontId="19" fillId="3" borderId="63" xfId="6" applyNumberFormat="1" applyFont="1" applyFill="1" applyBorder="1" applyAlignment="1">
      <alignment horizontal="right"/>
    </xf>
    <xf numFmtId="38" fontId="13" fillId="3" borderId="63" xfId="3" applyNumberFormat="1" applyFont="1" applyFill="1" applyBorder="1"/>
    <xf numFmtId="38" fontId="13" fillId="3" borderId="63" xfId="3" applyNumberFormat="1" applyFont="1" applyFill="1" applyBorder="1" applyAlignment="1">
      <alignment horizontal="right"/>
    </xf>
    <xf numFmtId="0" fontId="12" fillId="3" borderId="0" xfId="3" applyFont="1" applyFill="1"/>
    <xf numFmtId="166" fontId="13" fillId="3" borderId="63" xfId="3" applyNumberFormat="1" applyFont="1" applyFill="1" applyBorder="1"/>
    <xf numFmtId="38" fontId="13" fillId="3" borderId="63" xfId="3" applyNumberFormat="1" applyFont="1" applyFill="1" applyBorder="1"/>
    <xf numFmtId="38" fontId="13" fillId="3" borderId="63" xfId="3" applyNumberFormat="1" applyFont="1" applyFill="1" applyBorder="1" applyAlignment="1">
      <alignment horizontal="right"/>
    </xf>
    <xf numFmtId="3" fontId="13" fillId="3" borderId="63" xfId="3" applyNumberFormat="1" applyFont="1" applyFill="1" applyBorder="1" applyAlignment="1">
      <alignment horizontal="right"/>
    </xf>
    <xf numFmtId="0" fontId="10" fillId="0" borderId="0" xfId="6" applyFont="1"/>
    <xf numFmtId="0" fontId="17" fillId="0" borderId="0" xfId="6"/>
    <xf numFmtId="0" fontId="9" fillId="0" borderId="0" xfId="6" applyFont="1"/>
    <xf numFmtId="0" fontId="19" fillId="0" borderId="63" xfId="6" applyFont="1" applyBorder="1"/>
    <xf numFmtId="0" fontId="13" fillId="0" borderId="63" xfId="6" applyFont="1" applyBorder="1"/>
    <xf numFmtId="0" fontId="19" fillId="3" borderId="63" xfId="6" applyFont="1" applyFill="1" applyBorder="1"/>
    <xf numFmtId="0" fontId="19" fillId="0" borderId="0" xfId="6" applyFont="1"/>
    <xf numFmtId="9" fontId="19" fillId="0" borderId="63" xfId="6" applyNumberFormat="1" applyFont="1" applyBorder="1"/>
    <xf numFmtId="9" fontId="19" fillId="3" borderId="63" xfId="6" applyNumberFormat="1" applyFont="1" applyFill="1" applyBorder="1"/>
    <xf numFmtId="0" fontId="20" fillId="0" borderId="0" xfId="6" applyFont="1"/>
    <xf numFmtId="9" fontId="17" fillId="0" borderId="0" xfId="6" applyNumberFormat="1"/>
    <xf numFmtId="0" fontId="22" fillId="0" borderId="0" xfId="1" applyFont="1"/>
    <xf numFmtId="9" fontId="0" fillId="0" borderId="0" xfId="8" applyFont="1" applyAlignment="1"/>
    <xf numFmtId="9" fontId="13" fillId="0" borderId="63" xfId="6" applyNumberFormat="1" applyFont="1" applyBorder="1"/>
    <xf numFmtId="9" fontId="13" fillId="3" borderId="63" xfId="6" applyNumberFormat="1" applyFont="1" applyFill="1" applyBorder="1"/>
    <xf numFmtId="0" fontId="13" fillId="3" borderId="63" xfId="6" applyFont="1" applyFill="1" applyBorder="1"/>
    <xf numFmtId="0" fontId="16" fillId="0" borderId="0" xfId="3" applyFont="1"/>
    <xf numFmtId="0" fontId="9" fillId="0" borderId="6" xfId="3" applyFont="1" applyBorder="1" applyAlignment="1">
      <alignment horizontal="center"/>
    </xf>
    <xf numFmtId="0" fontId="9" fillId="0" borderId="0" xfId="3" applyFont="1" applyAlignment="1">
      <alignment horizontal="center"/>
    </xf>
    <xf numFmtId="0" fontId="13" fillId="0" borderId="3" xfId="3" applyFont="1" applyBorder="1"/>
    <xf numFmtId="0" fontId="13" fillId="0" borderId="17" xfId="3" applyFont="1" applyBorder="1"/>
    <xf numFmtId="0" fontId="13" fillId="0" borderId="75" xfId="3" applyFont="1" applyBorder="1"/>
    <xf numFmtId="0" fontId="13" fillId="0" borderId="22" xfId="3" applyFont="1" applyBorder="1"/>
    <xf numFmtId="0" fontId="13" fillId="0" borderId="49" xfId="3" applyFont="1" applyBorder="1"/>
    <xf numFmtId="0" fontId="13" fillId="0" borderId="86" xfId="3" applyFont="1" applyBorder="1"/>
    <xf numFmtId="0" fontId="13" fillId="0" borderId="87" xfId="3" applyFont="1" applyBorder="1"/>
    <xf numFmtId="0" fontId="13" fillId="0" borderId="26" xfId="3" applyFont="1" applyBorder="1"/>
    <xf numFmtId="0" fontId="13" fillId="0" borderId="34" xfId="3" applyFont="1" applyBorder="1"/>
    <xf numFmtId="0" fontId="13" fillId="0" borderId="96" xfId="3" applyFont="1" applyBorder="1"/>
    <xf numFmtId="0" fontId="13" fillId="0" borderId="12" xfId="3" applyFont="1" applyBorder="1"/>
    <xf numFmtId="0" fontId="13" fillId="0" borderId="53" xfId="3" applyFont="1" applyBorder="1"/>
    <xf numFmtId="167" fontId="13" fillId="0" borderId="25" xfId="4" applyNumberFormat="1" applyFont="1" applyFill="1" applyBorder="1" applyAlignment="1">
      <alignment horizontal="left"/>
    </xf>
    <xf numFmtId="0" fontId="13" fillId="0" borderId="4" xfId="3" applyFont="1" applyBorder="1"/>
    <xf numFmtId="0" fontId="13" fillId="0" borderId="59" xfId="3" applyFont="1" applyBorder="1"/>
    <xf numFmtId="38" fontId="9" fillId="0" borderId="0" xfId="4" applyFont="1"/>
    <xf numFmtId="0" fontId="25" fillId="0" borderId="0" xfId="3" quotePrefix="1" applyFont="1"/>
    <xf numFmtId="0" fontId="26" fillId="0" borderId="0" xfId="3" applyFont="1"/>
    <xf numFmtId="38" fontId="26" fillId="0" borderId="0" xfId="4" applyFont="1"/>
    <xf numFmtId="0" fontId="27" fillId="0" borderId="0" xfId="3" applyFont="1"/>
    <xf numFmtId="0" fontId="25" fillId="0" borderId="0" xfId="3" applyFont="1"/>
    <xf numFmtId="0" fontId="26" fillId="0" borderId="0" xfId="3" applyFont="1" applyAlignment="1">
      <alignment horizontal="left"/>
    </xf>
    <xf numFmtId="38" fontId="26" fillId="0" borderId="0" xfId="4" applyFont="1" applyFill="1"/>
    <xf numFmtId="0" fontId="28" fillId="0" borderId="0" xfId="3" applyFont="1"/>
    <xf numFmtId="0" fontId="13" fillId="0" borderId="6" xfId="3" applyFont="1" applyBorder="1" applyAlignment="1">
      <alignment horizontal="center"/>
    </xf>
    <xf numFmtId="0" fontId="13" fillId="0" borderId="5" xfId="3" applyFont="1" applyBorder="1" applyAlignment="1">
      <alignment horizontal="center"/>
    </xf>
    <xf numFmtId="0" fontId="13" fillId="0" borderId="8" xfId="3" applyFont="1" applyBorder="1" applyAlignment="1">
      <alignment horizontal="center"/>
    </xf>
    <xf numFmtId="0" fontId="13" fillId="0" borderId="7" xfId="3" applyFont="1" applyBorder="1" applyAlignment="1">
      <alignment horizontal="center"/>
    </xf>
    <xf numFmtId="0" fontId="13" fillId="0" borderId="9" xfId="3" applyFont="1" applyBorder="1" applyAlignment="1">
      <alignment horizontal="center"/>
    </xf>
    <xf numFmtId="0" fontId="13" fillId="0" borderId="61" xfId="3" applyFont="1" applyBorder="1" applyAlignment="1">
      <alignment horizontal="center"/>
    </xf>
    <xf numFmtId="0" fontId="13" fillId="0" borderId="71" xfId="3" applyFont="1" applyBorder="1" applyAlignment="1">
      <alignment horizontal="center"/>
    </xf>
    <xf numFmtId="0" fontId="13" fillId="0" borderId="72" xfId="3" applyFont="1" applyBorder="1" applyAlignment="1">
      <alignment horizontal="center"/>
    </xf>
    <xf numFmtId="0" fontId="13" fillId="0" borderId="73" xfId="3" applyFont="1" applyBorder="1" applyAlignment="1">
      <alignment horizontal="center"/>
    </xf>
    <xf numFmtId="0" fontId="13" fillId="0" borderId="74" xfId="3" applyFont="1" applyBorder="1" applyAlignment="1">
      <alignment horizontal="center"/>
    </xf>
    <xf numFmtId="0" fontId="13" fillId="0" borderId="0" xfId="3" applyFont="1" applyAlignment="1">
      <alignment horizontal="center"/>
    </xf>
    <xf numFmtId="38" fontId="13" fillId="0" borderId="75" xfId="4" applyFont="1" applyFill="1" applyBorder="1" applyAlignment="1">
      <alignment horizontal="right"/>
    </xf>
    <xf numFmtId="38" fontId="13" fillId="0" borderId="32" xfId="4" applyFont="1" applyFill="1" applyBorder="1" applyAlignment="1">
      <alignment horizontal="right"/>
    </xf>
    <xf numFmtId="38" fontId="13" fillId="0" borderId="31" xfId="4" applyFont="1" applyFill="1" applyBorder="1" applyAlignment="1">
      <alignment horizontal="right"/>
    </xf>
    <xf numFmtId="167" fontId="13" fillId="0" borderId="33" xfId="4" applyNumberFormat="1" applyFont="1" applyFill="1" applyBorder="1" applyAlignment="1">
      <alignment horizontal="right"/>
    </xf>
    <xf numFmtId="167" fontId="13" fillId="0" borderId="76" xfId="4" applyNumberFormat="1" applyFont="1" applyFill="1" applyBorder="1" applyAlignment="1">
      <alignment horizontal="right"/>
    </xf>
    <xf numFmtId="167" fontId="13" fillId="0" borderId="32" xfId="4" applyNumberFormat="1" applyFont="1" applyFill="1" applyBorder="1" applyAlignment="1">
      <alignment horizontal="right"/>
    </xf>
    <xf numFmtId="167" fontId="13" fillId="0" borderId="77" xfId="4" applyNumberFormat="1" applyFont="1" applyFill="1" applyBorder="1" applyAlignment="1">
      <alignment horizontal="right"/>
    </xf>
    <xf numFmtId="167" fontId="13" fillId="0" borderId="78" xfId="4" applyNumberFormat="1" applyFont="1" applyFill="1" applyBorder="1" applyAlignment="1">
      <alignment horizontal="right"/>
    </xf>
    <xf numFmtId="167" fontId="13" fillId="0" borderId="31" xfId="4" applyNumberFormat="1" applyFont="1" applyFill="1" applyBorder="1" applyAlignment="1">
      <alignment horizontal="right"/>
    </xf>
    <xf numFmtId="167" fontId="13" fillId="0" borderId="79" xfId="4" applyNumberFormat="1" applyFont="1" applyFill="1" applyBorder="1" applyAlignment="1">
      <alignment horizontal="right"/>
    </xf>
    <xf numFmtId="167" fontId="13" fillId="0" borderId="80" xfId="4" applyNumberFormat="1" applyFont="1" applyFill="1" applyBorder="1" applyAlignment="1">
      <alignment horizontal="right"/>
    </xf>
    <xf numFmtId="38" fontId="13" fillId="0" borderId="49" xfId="4" applyFont="1" applyFill="1" applyBorder="1" applyAlignment="1">
      <alignment horizontal="right"/>
    </xf>
    <xf numFmtId="38" fontId="13" fillId="0" borderId="24" xfId="4" applyFont="1" applyFill="1" applyBorder="1" applyAlignment="1">
      <alignment horizontal="right"/>
    </xf>
    <xf numFmtId="38" fontId="13" fillId="0" borderId="23" xfId="4" applyFont="1" applyFill="1" applyBorder="1" applyAlignment="1">
      <alignment horizontal="right"/>
    </xf>
    <xf numFmtId="167" fontId="13" fillId="0" borderId="25" xfId="4" applyNumberFormat="1" applyFont="1" applyFill="1" applyBorder="1" applyAlignment="1">
      <alignment horizontal="right"/>
    </xf>
    <xf numFmtId="167" fontId="13" fillId="0" borderId="81" xfId="4" applyNumberFormat="1" applyFont="1" applyFill="1" applyBorder="1" applyAlignment="1">
      <alignment horizontal="right"/>
    </xf>
    <xf numFmtId="167" fontId="13" fillId="0" borderId="24" xfId="4" applyNumberFormat="1" applyFont="1" applyFill="1" applyBorder="1" applyAlignment="1">
      <alignment horizontal="right"/>
    </xf>
    <xf numFmtId="167" fontId="13" fillId="0" borderId="82" xfId="4" applyNumberFormat="1" applyFont="1" applyFill="1" applyBorder="1" applyAlignment="1">
      <alignment horizontal="right"/>
    </xf>
    <xf numFmtId="167" fontId="13" fillId="0" borderId="83" xfId="4" applyNumberFormat="1" applyFont="1" applyFill="1" applyBorder="1" applyAlignment="1">
      <alignment horizontal="right"/>
    </xf>
    <xf numFmtId="167" fontId="13" fillId="0" borderId="23" xfId="4" applyNumberFormat="1" applyFont="1" applyFill="1" applyBorder="1" applyAlignment="1">
      <alignment horizontal="right"/>
    </xf>
    <xf numFmtId="167" fontId="13" fillId="0" borderId="84" xfId="4" applyNumberFormat="1" applyFont="1" applyFill="1" applyBorder="1" applyAlignment="1">
      <alignment horizontal="right"/>
    </xf>
    <xf numFmtId="167" fontId="13" fillId="0" borderId="85" xfId="4" applyNumberFormat="1" applyFont="1" applyFill="1" applyBorder="1" applyAlignment="1">
      <alignment horizontal="right"/>
    </xf>
    <xf numFmtId="38" fontId="13" fillId="0" borderId="87" xfId="4" applyFont="1" applyFill="1" applyBorder="1" applyAlignment="1">
      <alignment horizontal="right"/>
    </xf>
    <xf numFmtId="38" fontId="13" fillId="0" borderId="88" xfId="4" applyFont="1" applyFill="1" applyBorder="1" applyAlignment="1">
      <alignment horizontal="right"/>
    </xf>
    <xf numFmtId="38" fontId="13" fillId="0" borderId="89" xfId="4" applyFont="1" applyFill="1" applyBorder="1" applyAlignment="1">
      <alignment horizontal="right"/>
    </xf>
    <xf numFmtId="167" fontId="13" fillId="0" borderId="90" xfId="4" applyNumberFormat="1" applyFont="1" applyFill="1" applyBorder="1" applyAlignment="1">
      <alignment horizontal="right"/>
    </xf>
    <xf numFmtId="167" fontId="13" fillId="0" borderId="91" xfId="4" applyNumberFormat="1" applyFont="1" applyFill="1" applyBorder="1" applyAlignment="1">
      <alignment horizontal="right"/>
    </xf>
    <xf numFmtId="167" fontId="13" fillId="0" borderId="88" xfId="4" applyNumberFormat="1" applyFont="1" applyFill="1" applyBorder="1" applyAlignment="1">
      <alignment horizontal="right"/>
    </xf>
    <xf numFmtId="3" fontId="13" fillId="0" borderId="90" xfId="4" applyNumberFormat="1" applyFont="1" applyFill="1" applyBorder="1" applyAlignment="1">
      <alignment horizontal="right"/>
    </xf>
    <xf numFmtId="3" fontId="13" fillId="0" borderId="92" xfId="4" applyNumberFormat="1" applyFont="1" applyFill="1" applyBorder="1" applyAlignment="1">
      <alignment horizontal="right"/>
    </xf>
    <xf numFmtId="3" fontId="13" fillId="0" borderId="93" xfId="4" applyNumberFormat="1" applyFont="1" applyFill="1" applyBorder="1" applyAlignment="1">
      <alignment horizontal="right"/>
    </xf>
    <xf numFmtId="3" fontId="13" fillId="0" borderId="89" xfId="4" applyNumberFormat="1" applyFont="1" applyFill="1" applyBorder="1" applyAlignment="1">
      <alignment horizontal="right"/>
    </xf>
    <xf numFmtId="3" fontId="13" fillId="0" borderId="94" xfId="4" applyNumberFormat="1" applyFont="1" applyFill="1" applyBorder="1" applyAlignment="1">
      <alignment horizontal="right"/>
    </xf>
    <xf numFmtId="3" fontId="13" fillId="3" borderId="95" xfId="4" applyNumberFormat="1" applyFont="1" applyFill="1" applyBorder="1" applyAlignment="1">
      <alignment horizontal="right"/>
    </xf>
    <xf numFmtId="168" fontId="13" fillId="3" borderId="95" xfId="4" applyNumberFormat="1" applyFont="1" applyFill="1" applyBorder="1" applyAlignment="1">
      <alignment horizontal="right"/>
    </xf>
    <xf numFmtId="38" fontId="13" fillId="0" borderId="96" xfId="4" applyFont="1" applyFill="1" applyBorder="1" applyAlignment="1">
      <alignment horizontal="right"/>
    </xf>
    <xf numFmtId="38" fontId="13" fillId="0" borderId="36" xfId="4" applyFont="1" applyFill="1" applyBorder="1" applyAlignment="1">
      <alignment horizontal="right"/>
    </xf>
    <xf numFmtId="38" fontId="13" fillId="0" borderId="35" xfId="4" applyFont="1" applyFill="1" applyBorder="1" applyAlignment="1">
      <alignment horizontal="right"/>
    </xf>
    <xf numFmtId="167" fontId="13" fillId="0" borderId="37" xfId="4" applyNumberFormat="1" applyFont="1" applyFill="1" applyBorder="1" applyAlignment="1">
      <alignment horizontal="right"/>
    </xf>
    <xf numFmtId="167" fontId="13" fillId="0" borderId="97" xfId="4" applyNumberFormat="1" applyFont="1" applyFill="1" applyBorder="1" applyAlignment="1">
      <alignment horizontal="right"/>
    </xf>
    <xf numFmtId="167" fontId="13" fillId="0" borderId="36" xfId="4" applyNumberFormat="1" applyFont="1" applyFill="1" applyBorder="1" applyAlignment="1">
      <alignment horizontal="right"/>
    </xf>
    <xf numFmtId="167" fontId="13" fillId="0" borderId="98" xfId="4" applyNumberFormat="1" applyFont="1" applyFill="1" applyBorder="1" applyAlignment="1">
      <alignment horizontal="right"/>
    </xf>
    <xf numFmtId="167" fontId="13" fillId="0" borderId="99" xfId="4" applyNumberFormat="1" applyFont="1" applyFill="1" applyBorder="1" applyAlignment="1">
      <alignment horizontal="right"/>
    </xf>
    <xf numFmtId="167" fontId="13" fillId="0" borderId="35" xfId="4" applyNumberFormat="1" applyFont="1" applyFill="1" applyBorder="1" applyAlignment="1">
      <alignment horizontal="right"/>
    </xf>
    <xf numFmtId="167" fontId="13" fillId="0" borderId="100" xfId="4" applyNumberFormat="1" applyFont="1" applyFill="1" applyBorder="1" applyAlignment="1">
      <alignment horizontal="right"/>
    </xf>
    <xf numFmtId="167" fontId="13" fillId="0" borderId="101" xfId="4" applyNumberFormat="1" applyFont="1" applyFill="1" applyBorder="1" applyAlignment="1">
      <alignment horizontal="right"/>
    </xf>
    <xf numFmtId="38" fontId="13" fillId="0" borderId="12" xfId="4" applyFont="1" applyBorder="1" applyAlignment="1">
      <alignment horizontal="right"/>
    </xf>
    <xf numFmtId="38" fontId="13" fillId="0" borderId="13" xfId="4" applyFont="1" applyFill="1" applyBorder="1" applyAlignment="1">
      <alignment horizontal="right"/>
    </xf>
    <xf numFmtId="38" fontId="13" fillId="0" borderId="13" xfId="4" applyFont="1" applyBorder="1" applyAlignment="1">
      <alignment horizontal="right"/>
    </xf>
    <xf numFmtId="38" fontId="13" fillId="0" borderId="0" xfId="4" applyFont="1" applyFill="1" applyBorder="1" applyAlignment="1">
      <alignment horizontal="right"/>
    </xf>
    <xf numFmtId="167" fontId="13" fillId="0" borderId="14" xfId="4" applyNumberFormat="1" applyFont="1" applyFill="1" applyBorder="1" applyAlignment="1">
      <alignment horizontal="right"/>
    </xf>
    <xf numFmtId="167" fontId="13" fillId="0" borderId="102" xfId="4" applyNumberFormat="1" applyFont="1" applyFill="1" applyBorder="1" applyAlignment="1">
      <alignment horizontal="right"/>
    </xf>
    <xf numFmtId="167" fontId="13" fillId="0" borderId="13" xfId="4" applyNumberFormat="1" applyFont="1" applyFill="1" applyBorder="1" applyAlignment="1">
      <alignment horizontal="right"/>
    </xf>
    <xf numFmtId="167" fontId="13" fillId="0" borderId="103" xfId="4" applyNumberFormat="1" applyFont="1" applyFill="1" applyBorder="1" applyAlignment="1">
      <alignment horizontal="right"/>
    </xf>
    <xf numFmtId="167" fontId="13" fillId="0" borderId="104" xfId="4" applyNumberFormat="1" applyFont="1" applyFill="1" applyBorder="1" applyAlignment="1">
      <alignment horizontal="right"/>
    </xf>
    <xf numFmtId="167" fontId="13" fillId="0" borderId="0" xfId="4" applyNumberFormat="1" applyFont="1" applyFill="1" applyBorder="1" applyAlignment="1">
      <alignment horizontal="right"/>
    </xf>
    <xf numFmtId="167" fontId="13" fillId="0" borderId="105" xfId="4" applyNumberFormat="1" applyFont="1" applyFill="1" applyBorder="1" applyAlignment="1">
      <alignment horizontal="right"/>
    </xf>
    <xf numFmtId="167" fontId="13" fillId="0" borderId="106" xfId="4" applyNumberFormat="1" applyFont="1" applyFill="1" applyBorder="1" applyAlignment="1">
      <alignment horizontal="right"/>
    </xf>
    <xf numFmtId="0" fontId="13" fillId="0" borderId="43" xfId="3" applyFont="1" applyBorder="1"/>
    <xf numFmtId="38" fontId="13" fillId="0" borderId="49" xfId="4" applyFont="1" applyBorder="1" applyAlignment="1">
      <alignment horizontal="right"/>
    </xf>
    <xf numFmtId="38" fontId="13" fillId="0" borderId="24" xfId="4" applyFont="1" applyBorder="1" applyAlignment="1">
      <alignment horizontal="right"/>
    </xf>
    <xf numFmtId="38" fontId="13" fillId="0" borderId="12" xfId="4" applyFont="1" applyFill="1" applyBorder="1" applyAlignment="1">
      <alignment horizontal="right"/>
    </xf>
    <xf numFmtId="3" fontId="13" fillId="0" borderId="25" xfId="4" applyNumberFormat="1" applyFont="1" applyFill="1" applyBorder="1" applyAlignment="1">
      <alignment horizontal="right"/>
    </xf>
    <xf numFmtId="3" fontId="13" fillId="0" borderId="82" xfId="4" applyNumberFormat="1" applyFont="1" applyFill="1" applyBorder="1" applyAlignment="1">
      <alignment horizontal="right"/>
    </xf>
    <xf numFmtId="169" fontId="13" fillId="0" borderId="23" xfId="4" applyNumberFormat="1" applyFont="1" applyFill="1" applyBorder="1" applyAlignment="1">
      <alignment horizontal="right"/>
    </xf>
    <xf numFmtId="169" fontId="13" fillId="0" borderId="84" xfId="4" applyNumberFormat="1" applyFont="1" applyFill="1" applyBorder="1" applyAlignment="1">
      <alignment horizontal="right"/>
    </xf>
    <xf numFmtId="169" fontId="13" fillId="3" borderId="85" xfId="4" applyNumberFormat="1" applyFont="1" applyFill="1" applyBorder="1" applyAlignment="1">
      <alignment horizontal="right"/>
    </xf>
    <xf numFmtId="170" fontId="13" fillId="3" borderId="85" xfId="4" applyNumberFormat="1" applyFont="1" applyFill="1" applyBorder="1" applyAlignment="1">
      <alignment horizontal="right"/>
    </xf>
    <xf numFmtId="38" fontId="13" fillId="0" borderId="53" xfId="4" applyFont="1" applyBorder="1" applyAlignment="1">
      <alignment horizontal="right"/>
    </xf>
    <xf numFmtId="38" fontId="13" fillId="0" borderId="28" xfId="4" applyFont="1" applyBorder="1" applyAlignment="1">
      <alignment horizontal="right"/>
    </xf>
    <xf numFmtId="38" fontId="13" fillId="0" borderId="28" xfId="4" applyFont="1" applyFill="1" applyBorder="1" applyAlignment="1">
      <alignment horizontal="right"/>
    </xf>
    <xf numFmtId="38" fontId="13" fillId="0" borderId="27" xfId="4" applyFont="1" applyFill="1" applyBorder="1" applyAlignment="1">
      <alignment horizontal="right"/>
    </xf>
    <xf numFmtId="167" fontId="13" fillId="0" borderId="29" xfId="4" applyNumberFormat="1" applyFont="1" applyFill="1" applyBorder="1" applyAlignment="1">
      <alignment horizontal="right"/>
    </xf>
    <xf numFmtId="167" fontId="13" fillId="0" borderId="107" xfId="4" applyNumberFormat="1" applyFont="1" applyFill="1" applyBorder="1" applyAlignment="1">
      <alignment horizontal="right"/>
    </xf>
    <xf numFmtId="167" fontId="13" fillId="0" borderId="28" xfId="4" applyNumberFormat="1" applyFont="1" applyFill="1" applyBorder="1" applyAlignment="1">
      <alignment horizontal="right"/>
    </xf>
    <xf numFmtId="167" fontId="13" fillId="0" borderId="108" xfId="4" applyNumberFormat="1" applyFont="1" applyFill="1" applyBorder="1" applyAlignment="1">
      <alignment horizontal="right"/>
    </xf>
    <xf numFmtId="167" fontId="13" fillId="0" borderId="109" xfId="4" applyNumberFormat="1" applyFont="1" applyFill="1" applyBorder="1" applyAlignment="1">
      <alignment horizontal="right"/>
    </xf>
    <xf numFmtId="167" fontId="13" fillId="0" borderId="27" xfId="4" applyNumberFormat="1" applyFont="1" applyFill="1" applyBorder="1" applyAlignment="1">
      <alignment horizontal="right"/>
    </xf>
    <xf numFmtId="167" fontId="13" fillId="0" borderId="110" xfId="4" applyNumberFormat="1" applyFont="1" applyFill="1" applyBorder="1" applyAlignment="1">
      <alignment horizontal="right"/>
    </xf>
    <xf numFmtId="167" fontId="13" fillId="0" borderId="111" xfId="4" applyNumberFormat="1" applyFont="1" applyFill="1" applyBorder="1" applyAlignment="1">
      <alignment horizontal="right"/>
    </xf>
    <xf numFmtId="171" fontId="13" fillId="0" borderId="13" xfId="4" applyNumberFormat="1" applyFont="1" applyBorder="1" applyAlignment="1">
      <alignment horizontal="right"/>
    </xf>
    <xf numFmtId="171" fontId="13" fillId="0" borderId="13" xfId="4" applyNumberFormat="1" applyFont="1" applyFill="1" applyBorder="1" applyAlignment="1">
      <alignment horizontal="right"/>
    </xf>
    <xf numFmtId="171" fontId="13" fillId="0" borderId="0" xfId="4" applyNumberFormat="1" applyFont="1" applyFill="1" applyBorder="1" applyAlignment="1">
      <alignment horizontal="right"/>
    </xf>
    <xf numFmtId="0" fontId="13" fillId="0" borderId="43" xfId="3" applyFont="1" applyBorder="1" applyAlignment="1">
      <alignment horizontal="right"/>
    </xf>
    <xf numFmtId="171" fontId="13" fillId="0" borderId="24" xfId="4" applyNumberFormat="1" applyFont="1" applyBorder="1" applyAlignment="1">
      <alignment horizontal="right"/>
    </xf>
    <xf numFmtId="171" fontId="13" fillId="0" borderId="24" xfId="4" applyNumberFormat="1" applyFont="1" applyFill="1" applyBorder="1" applyAlignment="1">
      <alignment horizontal="right"/>
    </xf>
    <xf numFmtId="171" fontId="13" fillId="0" borderId="23" xfId="4" applyNumberFormat="1" applyFont="1" applyFill="1" applyBorder="1" applyAlignment="1">
      <alignment horizontal="right"/>
    </xf>
    <xf numFmtId="0" fontId="13" fillId="0" borderId="22" xfId="3" applyFont="1" applyBorder="1" applyAlignment="1">
      <alignment horizontal="right"/>
    </xf>
    <xf numFmtId="2" fontId="13" fillId="0" borderId="81" xfId="4" applyNumberFormat="1" applyFont="1" applyFill="1" applyBorder="1" applyAlignment="1">
      <alignment horizontal="right"/>
    </xf>
    <xf numFmtId="2" fontId="13" fillId="0" borderId="24" xfId="4" applyNumberFormat="1" applyFont="1" applyFill="1" applyBorder="1" applyAlignment="1">
      <alignment horizontal="right"/>
    </xf>
    <xf numFmtId="2" fontId="13" fillId="0" borderId="25" xfId="4" applyNumberFormat="1" applyFont="1" applyFill="1" applyBorder="1" applyAlignment="1">
      <alignment horizontal="right"/>
    </xf>
    <xf numFmtId="2" fontId="13" fillId="0" borderId="82" xfId="4" applyNumberFormat="1" applyFont="1" applyFill="1" applyBorder="1" applyAlignment="1">
      <alignment horizontal="right"/>
    </xf>
    <xf numFmtId="2" fontId="13" fillId="0" borderId="23" xfId="4" applyNumberFormat="1" applyFont="1" applyFill="1" applyBorder="1" applyAlignment="1">
      <alignment horizontal="right"/>
    </xf>
    <xf numFmtId="2" fontId="13" fillId="0" borderId="84" xfId="4" applyNumberFormat="1" applyFont="1" applyFill="1" applyBorder="1" applyAlignment="1">
      <alignment horizontal="right"/>
    </xf>
    <xf numFmtId="2" fontId="13" fillId="0" borderId="85" xfId="4" applyNumberFormat="1" applyFont="1" applyFill="1" applyBorder="1" applyAlignment="1">
      <alignment horizontal="right"/>
    </xf>
    <xf numFmtId="171" fontId="13" fillId="0" borderId="28" xfId="4" applyNumberFormat="1" applyFont="1" applyFill="1" applyBorder="1" applyAlignment="1">
      <alignment horizontal="right"/>
    </xf>
    <xf numFmtId="171" fontId="13" fillId="0" borderId="27" xfId="4" applyNumberFormat="1" applyFont="1" applyFill="1" applyBorder="1" applyAlignment="1">
      <alignment horizontal="right"/>
    </xf>
    <xf numFmtId="0" fontId="13" fillId="0" borderId="34" xfId="3" applyFont="1" applyBorder="1" applyAlignment="1">
      <alignment horizontal="right"/>
    </xf>
    <xf numFmtId="38" fontId="13" fillId="0" borderId="25" xfId="4" applyFont="1" applyFill="1" applyBorder="1" applyAlignment="1">
      <alignment horizontal="right"/>
    </xf>
    <xf numFmtId="38" fontId="13" fillId="0" borderId="81" xfId="4" applyFont="1" applyFill="1" applyBorder="1" applyAlignment="1">
      <alignment horizontal="right"/>
    </xf>
    <xf numFmtId="3" fontId="13" fillId="0" borderId="83" xfId="4" applyNumberFormat="1" applyFont="1" applyFill="1" applyBorder="1" applyAlignment="1">
      <alignment horizontal="right"/>
    </xf>
    <xf numFmtId="3" fontId="13" fillId="0" borderId="23" xfId="4" applyNumberFormat="1" applyFont="1" applyFill="1" applyBorder="1" applyAlignment="1">
      <alignment horizontal="right"/>
    </xf>
    <xf numFmtId="3" fontId="13" fillId="0" borderId="84" xfId="4" applyNumberFormat="1" applyFont="1" applyFill="1" applyBorder="1" applyAlignment="1">
      <alignment horizontal="right"/>
    </xf>
    <xf numFmtId="168" fontId="13" fillId="0" borderId="84" xfId="4" applyNumberFormat="1" applyFont="1" applyFill="1" applyBorder="1" applyAlignment="1">
      <alignment horizontal="right"/>
    </xf>
    <xf numFmtId="168" fontId="13" fillId="0" borderId="85" xfId="4" applyNumberFormat="1" applyFont="1" applyFill="1" applyBorder="1" applyAlignment="1">
      <alignment horizontal="right"/>
    </xf>
    <xf numFmtId="167" fontId="13" fillId="0" borderId="25" xfId="4" quotePrefix="1" applyNumberFormat="1" applyFont="1" applyFill="1" applyBorder="1" applyAlignment="1">
      <alignment horizontal="right"/>
    </xf>
    <xf numFmtId="167" fontId="13" fillId="0" borderId="82" xfId="4" quotePrefix="1" applyNumberFormat="1" applyFont="1" applyFill="1" applyBorder="1" applyAlignment="1">
      <alignment horizontal="right"/>
    </xf>
    <xf numFmtId="3" fontId="13" fillId="0" borderId="83" xfId="4" quotePrefix="1" applyNumberFormat="1" applyFont="1" applyFill="1" applyBorder="1" applyAlignment="1">
      <alignment horizontal="right"/>
    </xf>
    <xf numFmtId="167" fontId="13" fillId="0" borderId="23" xfId="4" quotePrefix="1" applyNumberFormat="1" applyFont="1" applyFill="1" applyBorder="1" applyAlignment="1">
      <alignment horizontal="right"/>
    </xf>
    <xf numFmtId="167" fontId="13" fillId="0" borderId="84" xfId="4" quotePrefix="1" applyNumberFormat="1" applyFont="1" applyFill="1" applyBorder="1" applyAlignment="1">
      <alignment horizontal="right"/>
    </xf>
    <xf numFmtId="167" fontId="13" fillId="0" borderId="85" xfId="4" quotePrefix="1" applyNumberFormat="1" applyFont="1" applyFill="1" applyBorder="1" applyAlignment="1">
      <alignment horizontal="right"/>
    </xf>
    <xf numFmtId="167" fontId="13" fillId="0" borderId="34" xfId="3" applyNumberFormat="1" applyFont="1" applyBorder="1"/>
    <xf numFmtId="38" fontId="13" fillId="0" borderId="14" xfId="4" applyFont="1" applyFill="1" applyBorder="1" applyAlignment="1">
      <alignment horizontal="right"/>
    </xf>
    <xf numFmtId="38" fontId="13" fillId="0" borderId="102" xfId="4" applyFont="1" applyFill="1" applyBorder="1" applyAlignment="1">
      <alignment horizontal="right"/>
    </xf>
    <xf numFmtId="38" fontId="13" fillId="0" borderId="103" xfId="4" applyFont="1" applyFill="1" applyBorder="1" applyAlignment="1">
      <alignment horizontal="right"/>
    </xf>
    <xf numFmtId="38" fontId="13" fillId="0" borderId="3" xfId="4" applyFont="1" applyFill="1" applyBorder="1" applyAlignment="1">
      <alignment horizontal="right"/>
    </xf>
    <xf numFmtId="38" fontId="13" fillId="0" borderId="104" xfId="4" applyFont="1" applyFill="1" applyBorder="1" applyAlignment="1">
      <alignment horizontal="right"/>
    </xf>
    <xf numFmtId="38" fontId="13" fillId="0" borderId="105" xfId="4" applyFont="1" applyFill="1" applyBorder="1" applyAlignment="1">
      <alignment horizontal="right"/>
    </xf>
    <xf numFmtId="38" fontId="13" fillId="0" borderId="106" xfId="4" applyFont="1" applyFill="1" applyBorder="1" applyAlignment="1">
      <alignment horizontal="right"/>
    </xf>
    <xf numFmtId="38" fontId="13" fillId="0" borderId="25" xfId="4" quotePrefix="1" applyFont="1" applyFill="1" applyBorder="1" applyAlignment="1">
      <alignment horizontal="right"/>
    </xf>
    <xf numFmtId="38" fontId="13" fillId="0" borderId="81" xfId="4" quotePrefix="1" applyFont="1" applyFill="1" applyBorder="1" applyAlignment="1">
      <alignment horizontal="right"/>
    </xf>
    <xf numFmtId="38" fontId="13" fillId="0" borderId="24" xfId="4" quotePrefix="1" applyFont="1" applyFill="1" applyBorder="1" applyAlignment="1">
      <alignment horizontal="right"/>
    </xf>
    <xf numFmtId="38" fontId="13" fillId="0" borderId="82" xfId="4" applyFont="1" applyFill="1" applyBorder="1" applyAlignment="1">
      <alignment horizontal="right"/>
    </xf>
    <xf numFmtId="38" fontId="13" fillId="0" borderId="22" xfId="4" applyFont="1" applyFill="1" applyBorder="1" applyAlignment="1">
      <alignment horizontal="right"/>
    </xf>
    <xf numFmtId="38" fontId="13" fillId="0" borderId="83" xfId="4" applyFont="1" applyFill="1" applyBorder="1" applyAlignment="1">
      <alignment horizontal="right"/>
    </xf>
    <xf numFmtId="38" fontId="13" fillId="0" borderId="84" xfId="4" applyFont="1" applyFill="1" applyBorder="1" applyAlignment="1">
      <alignment horizontal="right"/>
    </xf>
    <xf numFmtId="38" fontId="13" fillId="0" borderId="85" xfId="4" applyFont="1" applyFill="1" applyBorder="1" applyAlignment="1">
      <alignment horizontal="right"/>
    </xf>
    <xf numFmtId="167" fontId="13" fillId="0" borderId="22" xfId="4" applyNumberFormat="1" applyFont="1" applyFill="1" applyBorder="1" applyAlignment="1">
      <alignment horizontal="right"/>
    </xf>
    <xf numFmtId="167" fontId="13" fillId="0" borderId="49" xfId="4" applyNumberFormat="1" applyFont="1" applyFill="1" applyBorder="1" applyAlignment="1">
      <alignment horizontal="right"/>
    </xf>
    <xf numFmtId="38" fontId="13" fillId="0" borderId="29" xfId="4" applyFont="1" applyFill="1" applyBorder="1" applyAlignment="1">
      <alignment horizontal="right"/>
    </xf>
    <xf numFmtId="38" fontId="13" fillId="0" borderId="14" xfId="4" quotePrefix="1" applyFont="1" applyFill="1" applyBorder="1" applyAlignment="1">
      <alignment horizontal="right"/>
    </xf>
    <xf numFmtId="38" fontId="13" fillId="0" borderId="102" xfId="4" quotePrefix="1" applyFont="1" applyFill="1" applyBorder="1" applyAlignment="1">
      <alignment horizontal="right"/>
    </xf>
    <xf numFmtId="38" fontId="13" fillId="0" borderId="13" xfId="4" quotePrefix="1" applyFont="1" applyFill="1" applyBorder="1" applyAlignment="1">
      <alignment horizontal="right"/>
    </xf>
    <xf numFmtId="171" fontId="13" fillId="0" borderId="14" xfId="4" applyNumberFormat="1" applyFont="1" applyFill="1" applyBorder="1" applyAlignment="1">
      <alignment horizontal="right"/>
    </xf>
    <xf numFmtId="171" fontId="13" fillId="0" borderId="20" xfId="4" applyNumberFormat="1" applyFont="1" applyFill="1" applyBorder="1" applyAlignment="1">
      <alignment horizontal="right"/>
    </xf>
    <xf numFmtId="171" fontId="13" fillId="0" borderId="112" xfId="4" applyNumberFormat="1" applyFont="1" applyFill="1" applyBorder="1" applyAlignment="1">
      <alignment horizontal="right"/>
    </xf>
    <xf numFmtId="171" fontId="13" fillId="0" borderId="19" xfId="4" applyNumberFormat="1" applyFont="1" applyFill="1" applyBorder="1" applyAlignment="1">
      <alignment horizontal="right"/>
    </xf>
    <xf numFmtId="171" fontId="13" fillId="0" borderId="113" xfId="4" applyNumberFormat="1" applyFont="1" applyFill="1" applyBorder="1" applyAlignment="1">
      <alignment horizontal="right"/>
    </xf>
    <xf numFmtId="171" fontId="13" fillId="0" borderId="16" xfId="4" applyNumberFormat="1" applyFont="1" applyFill="1" applyBorder="1" applyAlignment="1">
      <alignment horizontal="right"/>
    </xf>
    <xf numFmtId="171" fontId="13" fillId="0" borderId="44" xfId="4" applyNumberFormat="1" applyFont="1" applyFill="1" applyBorder="1" applyAlignment="1">
      <alignment horizontal="right"/>
    </xf>
    <xf numFmtId="171" fontId="13" fillId="0" borderId="114" xfId="4" applyNumberFormat="1" applyFont="1" applyFill="1" applyBorder="1" applyAlignment="1">
      <alignment horizontal="right"/>
    </xf>
    <xf numFmtId="171" fontId="13" fillId="0" borderId="18" xfId="4" applyNumberFormat="1" applyFont="1" applyFill="1" applyBorder="1" applyAlignment="1">
      <alignment horizontal="right"/>
    </xf>
    <xf numFmtId="171" fontId="13" fillId="0" borderId="115" xfId="4" applyNumberFormat="1" applyFont="1" applyFill="1" applyBorder="1" applyAlignment="1">
      <alignment horizontal="right"/>
    </xf>
    <xf numFmtId="171" fontId="13" fillId="0" borderId="116" xfId="4" applyNumberFormat="1" applyFont="1" applyFill="1" applyBorder="1" applyAlignment="1">
      <alignment horizontal="right"/>
    </xf>
    <xf numFmtId="38" fontId="13" fillId="0" borderId="37" xfId="4" quotePrefix="1" applyFont="1" applyFill="1" applyBorder="1" applyAlignment="1">
      <alignment horizontal="right"/>
    </xf>
    <xf numFmtId="38" fontId="13" fillId="0" borderId="97" xfId="4" quotePrefix="1" applyFont="1" applyFill="1" applyBorder="1" applyAlignment="1">
      <alignment horizontal="right"/>
    </xf>
    <xf numFmtId="38" fontId="13" fillId="0" borderId="36" xfId="4" quotePrefix="1" applyFont="1" applyFill="1" applyBorder="1" applyAlignment="1">
      <alignment horizontal="right"/>
    </xf>
    <xf numFmtId="38" fontId="13" fillId="0" borderId="37" xfId="4" applyFont="1" applyFill="1" applyBorder="1" applyAlignment="1">
      <alignment horizontal="right"/>
    </xf>
    <xf numFmtId="38" fontId="13" fillId="0" borderId="98" xfId="4" applyFont="1" applyFill="1" applyBorder="1" applyAlignment="1">
      <alignment horizontal="right"/>
    </xf>
    <xf numFmtId="38" fontId="13" fillId="0" borderId="34" xfId="4" applyFont="1" applyFill="1" applyBorder="1" applyAlignment="1">
      <alignment horizontal="right"/>
    </xf>
    <xf numFmtId="38" fontId="13" fillId="0" borderId="99" xfId="4" applyFont="1" applyFill="1" applyBorder="1" applyAlignment="1">
      <alignment horizontal="right"/>
    </xf>
    <xf numFmtId="38" fontId="13" fillId="0" borderId="100" xfId="4" applyFont="1" applyFill="1" applyBorder="1" applyAlignment="1">
      <alignment horizontal="right"/>
    </xf>
    <xf numFmtId="38" fontId="13" fillId="0" borderId="101" xfId="4" applyFont="1" applyFill="1" applyBorder="1" applyAlignment="1">
      <alignment horizontal="right"/>
    </xf>
    <xf numFmtId="38" fontId="13" fillId="0" borderId="29" xfId="4" quotePrefix="1" applyFont="1" applyFill="1" applyBorder="1" applyAlignment="1">
      <alignment horizontal="right"/>
    </xf>
    <xf numFmtId="38" fontId="13" fillId="0" borderId="107" xfId="4" quotePrefix="1" applyFont="1" applyFill="1" applyBorder="1" applyAlignment="1">
      <alignment horizontal="right"/>
    </xf>
    <xf numFmtId="38" fontId="13" fillId="0" borderId="28" xfId="4" quotePrefix="1" applyFont="1" applyFill="1" applyBorder="1" applyAlignment="1">
      <alignment horizontal="right"/>
    </xf>
    <xf numFmtId="38" fontId="13" fillId="0" borderId="108" xfId="4" applyFont="1" applyFill="1" applyBorder="1" applyAlignment="1">
      <alignment horizontal="right"/>
    </xf>
    <xf numFmtId="38" fontId="13" fillId="0" borderId="109" xfId="4" applyFont="1" applyFill="1" applyBorder="1" applyAlignment="1">
      <alignment horizontal="right"/>
    </xf>
    <xf numFmtId="38" fontId="13" fillId="0" borderId="110" xfId="4" applyFont="1" applyFill="1" applyBorder="1" applyAlignment="1">
      <alignment horizontal="right"/>
    </xf>
    <xf numFmtId="38" fontId="13" fillId="0" borderId="111" xfId="4" applyFont="1" applyFill="1" applyBorder="1" applyAlignment="1">
      <alignment horizontal="right"/>
    </xf>
    <xf numFmtId="38" fontId="13" fillId="0" borderId="107" xfId="4" applyFont="1" applyFill="1" applyBorder="1" applyAlignment="1">
      <alignment horizontal="right"/>
    </xf>
    <xf numFmtId="171" fontId="13" fillId="0" borderId="102" xfId="4" applyNumberFormat="1" applyFont="1" applyFill="1" applyBorder="1" applyAlignment="1">
      <alignment horizontal="right"/>
    </xf>
    <xf numFmtId="171" fontId="13" fillId="0" borderId="103" xfId="4" applyNumberFormat="1" applyFont="1" applyFill="1" applyBorder="1" applyAlignment="1">
      <alignment horizontal="right"/>
    </xf>
    <xf numFmtId="171" fontId="13" fillId="0" borderId="104" xfId="4" applyNumberFormat="1" applyFont="1" applyFill="1" applyBorder="1" applyAlignment="1">
      <alignment horizontal="right"/>
    </xf>
    <xf numFmtId="171" fontId="13" fillId="0" borderId="105" xfId="4" applyNumberFormat="1" applyFont="1" applyFill="1" applyBorder="1" applyAlignment="1">
      <alignment horizontal="right"/>
    </xf>
    <xf numFmtId="171" fontId="13" fillId="0" borderId="106" xfId="4" applyNumberFormat="1" applyFont="1" applyFill="1" applyBorder="1" applyAlignment="1">
      <alignment horizontal="right"/>
    </xf>
    <xf numFmtId="171" fontId="13" fillId="0" borderId="25" xfId="4" applyNumberFormat="1" applyFont="1" applyFill="1" applyBorder="1" applyAlignment="1">
      <alignment horizontal="right"/>
    </xf>
    <xf numFmtId="171" fontId="13" fillId="0" borderId="81" xfId="4" applyNumberFormat="1" applyFont="1" applyFill="1" applyBorder="1" applyAlignment="1">
      <alignment horizontal="right"/>
    </xf>
    <xf numFmtId="171" fontId="13" fillId="0" borderId="82" xfId="4" applyNumberFormat="1" applyFont="1" applyFill="1" applyBorder="1" applyAlignment="1">
      <alignment horizontal="right"/>
    </xf>
    <xf numFmtId="171" fontId="13" fillId="0" borderId="83" xfId="4" applyNumberFormat="1" applyFont="1" applyFill="1" applyBorder="1" applyAlignment="1">
      <alignment horizontal="right"/>
    </xf>
    <xf numFmtId="171" fontId="13" fillId="0" borderId="84" xfId="4" applyNumberFormat="1" applyFont="1" applyFill="1" applyBorder="1" applyAlignment="1">
      <alignment horizontal="right"/>
    </xf>
    <xf numFmtId="171" fontId="13" fillId="0" borderId="85" xfId="4" applyNumberFormat="1" applyFont="1" applyFill="1" applyBorder="1" applyAlignment="1">
      <alignment horizontal="right"/>
    </xf>
    <xf numFmtId="171" fontId="13" fillId="0" borderId="28" xfId="4" applyNumberFormat="1" applyFont="1" applyBorder="1" applyAlignment="1">
      <alignment horizontal="right"/>
    </xf>
    <xf numFmtId="171" fontId="13" fillId="0" borderId="29" xfId="4" applyNumberFormat="1" applyFont="1" applyFill="1" applyBorder="1" applyAlignment="1">
      <alignment horizontal="right"/>
    </xf>
    <xf numFmtId="171" fontId="13" fillId="0" borderId="107" xfId="4" applyNumberFormat="1" applyFont="1" applyFill="1" applyBorder="1" applyAlignment="1">
      <alignment horizontal="right"/>
    </xf>
    <xf numFmtId="171" fontId="13" fillId="0" borderId="108" xfId="4" applyNumberFormat="1" applyFont="1" applyFill="1" applyBorder="1" applyAlignment="1">
      <alignment horizontal="right"/>
    </xf>
    <xf numFmtId="171" fontId="13" fillId="0" borderId="109" xfId="4" applyNumberFormat="1" applyFont="1" applyFill="1" applyBorder="1" applyAlignment="1">
      <alignment horizontal="right"/>
    </xf>
    <xf numFmtId="171" fontId="13" fillId="0" borderId="110" xfId="4" applyNumberFormat="1" applyFont="1" applyFill="1" applyBorder="1" applyAlignment="1">
      <alignment horizontal="right"/>
    </xf>
    <xf numFmtId="171" fontId="13" fillId="0" borderId="111" xfId="4" applyNumberFormat="1" applyFont="1" applyFill="1" applyBorder="1" applyAlignment="1">
      <alignment horizontal="right"/>
    </xf>
    <xf numFmtId="167" fontId="13" fillId="0" borderId="117" xfId="4" applyNumberFormat="1" applyFont="1" applyFill="1" applyBorder="1" applyAlignment="1">
      <alignment horizontal="right"/>
    </xf>
    <xf numFmtId="38" fontId="13" fillId="0" borderId="26" xfId="4" applyFont="1" applyFill="1" applyBorder="1" applyAlignment="1">
      <alignment horizontal="right"/>
    </xf>
    <xf numFmtId="38" fontId="13" fillId="0" borderId="53" xfId="4" applyFont="1" applyFill="1" applyBorder="1" applyAlignment="1">
      <alignment horizontal="right"/>
    </xf>
    <xf numFmtId="171" fontId="13" fillId="0" borderId="3" xfId="4" applyNumberFormat="1" applyFont="1" applyFill="1" applyBorder="1" applyAlignment="1">
      <alignment horizontal="right"/>
    </xf>
    <xf numFmtId="171" fontId="13" fillId="0" borderId="12" xfId="4" applyNumberFormat="1" applyFont="1" applyFill="1" applyBorder="1" applyAlignment="1">
      <alignment horizontal="right"/>
    </xf>
    <xf numFmtId="38" fontId="13" fillId="0" borderId="29" xfId="4" applyFont="1" applyBorder="1" applyAlignment="1">
      <alignment horizontal="right"/>
    </xf>
    <xf numFmtId="38" fontId="13" fillId="0" borderId="107" xfId="4" applyFont="1" applyBorder="1" applyAlignment="1">
      <alignment horizontal="right"/>
    </xf>
    <xf numFmtId="38" fontId="13" fillId="0" borderId="12" xfId="4" applyFont="1" applyBorder="1" applyAlignment="1">
      <alignment horizontal="center"/>
    </xf>
    <xf numFmtId="38" fontId="13" fillId="0" borderId="24" xfId="4" applyFont="1" applyBorder="1" applyAlignment="1">
      <alignment horizontal="center"/>
    </xf>
    <xf numFmtId="38" fontId="13" fillId="0" borderId="25" xfId="4" applyFont="1" applyBorder="1" applyAlignment="1">
      <alignment horizontal="center"/>
    </xf>
    <xf numFmtId="38" fontId="13" fillId="0" borderId="81" xfId="4" applyFont="1" applyBorder="1" applyAlignment="1">
      <alignment horizontal="center"/>
    </xf>
    <xf numFmtId="38" fontId="13" fillId="0" borderId="83" xfId="4" applyFont="1" applyBorder="1" applyAlignment="1">
      <alignment horizontal="right"/>
    </xf>
    <xf numFmtId="38" fontId="13" fillId="0" borderId="23" xfId="4" applyFont="1" applyBorder="1" applyAlignment="1">
      <alignment horizontal="right"/>
    </xf>
    <xf numFmtId="0" fontId="13" fillId="0" borderId="17" xfId="3" applyFont="1" applyBorder="1" applyAlignment="1">
      <alignment horizontal="right"/>
    </xf>
    <xf numFmtId="38" fontId="13" fillId="0" borderId="49" xfId="4" applyFont="1" applyBorder="1" applyAlignment="1">
      <alignment horizontal="center"/>
    </xf>
    <xf numFmtId="167" fontId="13" fillId="0" borderId="81" xfId="4" applyNumberFormat="1" applyFont="1" applyFill="1" applyBorder="1" applyAlignment="1">
      <alignment horizontal="center"/>
    </xf>
    <xf numFmtId="167" fontId="13" fillId="0" borderId="24" xfId="4" applyNumberFormat="1" applyFont="1" applyFill="1" applyBorder="1" applyAlignment="1">
      <alignment horizontal="center"/>
    </xf>
    <xf numFmtId="38" fontId="13" fillId="0" borderId="59" xfId="4" applyFont="1" applyBorder="1" applyAlignment="1">
      <alignment horizontal="center"/>
    </xf>
    <xf numFmtId="38" fontId="13" fillId="0" borderId="39" xfId="4" applyFont="1" applyBorder="1" applyAlignment="1">
      <alignment horizontal="center"/>
    </xf>
    <xf numFmtId="38" fontId="13" fillId="0" borderId="39" xfId="4" applyFont="1" applyFill="1" applyBorder="1" applyAlignment="1">
      <alignment horizontal="center"/>
    </xf>
    <xf numFmtId="38" fontId="13" fillId="0" borderId="38" xfId="4" applyFont="1" applyFill="1" applyBorder="1" applyAlignment="1">
      <alignment horizontal="center"/>
    </xf>
    <xf numFmtId="38" fontId="13" fillId="0" borderId="40" xfId="4" applyFont="1" applyFill="1" applyBorder="1" applyAlignment="1">
      <alignment horizontal="center"/>
    </xf>
    <xf numFmtId="38" fontId="13" fillId="0" borderId="118" xfId="4" applyFont="1" applyFill="1" applyBorder="1" applyAlignment="1">
      <alignment horizontal="center"/>
    </xf>
    <xf numFmtId="38" fontId="13" fillId="0" borderId="40" xfId="4" applyFont="1" applyFill="1" applyBorder="1" applyAlignment="1">
      <alignment horizontal="right"/>
    </xf>
    <xf numFmtId="38" fontId="13" fillId="0" borderId="119" xfId="4" applyFont="1" applyFill="1" applyBorder="1" applyAlignment="1">
      <alignment horizontal="right"/>
    </xf>
    <xf numFmtId="38" fontId="13" fillId="0" borderId="120" xfId="4" applyFont="1" applyFill="1" applyBorder="1" applyAlignment="1">
      <alignment horizontal="right"/>
    </xf>
    <xf numFmtId="38" fontId="13" fillId="0" borderId="38" xfId="4" applyFont="1" applyFill="1" applyBorder="1" applyAlignment="1">
      <alignment horizontal="right"/>
    </xf>
    <xf numFmtId="38" fontId="13" fillId="0" borderId="121" xfId="4" applyFont="1" applyFill="1" applyBorder="1" applyAlignment="1">
      <alignment horizontal="right"/>
    </xf>
    <xf numFmtId="38" fontId="13" fillId="0" borderId="122" xfId="4" applyFont="1" applyFill="1" applyBorder="1" applyAlignment="1">
      <alignment horizontal="right"/>
    </xf>
    <xf numFmtId="0" fontId="13" fillId="0" borderId="123" xfId="3" applyFont="1" applyBorder="1" applyAlignment="1">
      <alignment horizontal="right"/>
    </xf>
    <xf numFmtId="0" fontId="8" fillId="0" borderId="0" xfId="3" applyFont="1" applyAlignment="1">
      <alignment horizontal="left"/>
    </xf>
    <xf numFmtId="0" fontId="29" fillId="0" borderId="0" xfId="3" applyFont="1" applyAlignment="1">
      <alignment horizontal="left"/>
    </xf>
    <xf numFmtId="0" fontId="30" fillId="0" borderId="0" xfId="3" applyFont="1" applyAlignment="1">
      <alignment horizontal="left"/>
    </xf>
    <xf numFmtId="0" fontId="21" fillId="0" borderId="0" xfId="3" applyFont="1"/>
    <xf numFmtId="0" fontId="31" fillId="0" borderId="0" xfId="3" applyFont="1"/>
    <xf numFmtId="0" fontId="21" fillId="0" borderId="0" xfId="3" applyFont="1" applyAlignment="1">
      <alignment horizontal="center"/>
    </xf>
    <xf numFmtId="9" fontId="21" fillId="0" borderId="0" xfId="3" applyNumberFormat="1" applyFont="1"/>
    <xf numFmtId="0" fontId="32" fillId="0" borderId="0" xfId="3" applyFont="1" applyAlignment="1">
      <alignment horizontal="left"/>
    </xf>
    <xf numFmtId="0" fontId="33" fillId="0" borderId="124" xfId="0" applyFont="1" applyBorder="1" applyAlignment="1">
      <alignment horizontal="center" vertical="center"/>
    </xf>
    <xf numFmtId="0" fontId="35" fillId="0" borderId="125" xfId="0" applyFont="1" applyBorder="1"/>
    <xf numFmtId="0" fontId="29" fillId="0" borderId="125" xfId="0" applyFont="1" applyBorder="1"/>
    <xf numFmtId="0" fontId="36" fillId="0" borderId="0" xfId="3" applyFont="1" applyAlignment="1">
      <alignment horizontal="center"/>
    </xf>
    <xf numFmtId="0" fontId="37" fillId="0" borderId="0" xfId="3" applyFont="1"/>
    <xf numFmtId="9" fontId="9" fillId="0" borderId="0" xfId="3" applyNumberFormat="1" applyFont="1"/>
    <xf numFmtId="0" fontId="11" fillId="0" borderId="63" xfId="3" applyFont="1" applyBorder="1" applyAlignment="1">
      <alignment horizontal="center"/>
    </xf>
    <xf numFmtId="0" fontId="11" fillId="0" borderId="63" xfId="3" applyFont="1" applyBorder="1" applyAlignment="1">
      <alignment horizontal="right"/>
    </xf>
    <xf numFmtId="0" fontId="11" fillId="0" borderId="63" xfId="3" applyFont="1" applyBorder="1"/>
    <xf numFmtId="0" fontId="13" fillId="0" borderId="19" xfId="3" applyFont="1" applyBorder="1" applyAlignment="1">
      <alignment horizontal="center"/>
    </xf>
    <xf numFmtId="9" fontId="13" fillId="0" borderId="19" xfId="0" applyNumberFormat="1" applyFont="1" applyBorder="1"/>
    <xf numFmtId="9" fontId="13" fillId="0" borderId="19" xfId="3" applyNumberFormat="1" applyFont="1" applyBorder="1"/>
    <xf numFmtId="0" fontId="13" fillId="0" borderId="28" xfId="3" applyFont="1" applyBorder="1" applyAlignment="1">
      <alignment horizontal="center"/>
    </xf>
    <xf numFmtId="9" fontId="13" fillId="0" borderId="28" xfId="10" applyFont="1" applyFill="1" applyBorder="1"/>
    <xf numFmtId="9" fontId="13" fillId="0" borderId="28" xfId="3" applyNumberFormat="1" applyFont="1" applyBorder="1"/>
    <xf numFmtId="0" fontId="13" fillId="0" borderId="67" xfId="3" applyFont="1" applyBorder="1" applyAlignment="1">
      <alignment horizontal="center"/>
    </xf>
    <xf numFmtId="9" fontId="13" fillId="0" borderId="67" xfId="0" applyNumberFormat="1" applyFont="1" applyBorder="1"/>
    <xf numFmtId="9" fontId="13" fillId="0" borderId="67" xfId="3" applyNumberFormat="1" applyFont="1" applyBorder="1"/>
    <xf numFmtId="9" fontId="13" fillId="0" borderId="67" xfId="10" applyFont="1" applyFill="1" applyBorder="1"/>
    <xf numFmtId="9" fontId="13" fillId="0" borderId="19" xfId="10" applyFont="1" applyFill="1" applyBorder="1"/>
    <xf numFmtId="9" fontId="13" fillId="0" borderId="19" xfId="0" applyNumberFormat="1" applyFont="1" applyBorder="1" applyAlignment="1">
      <alignment horizontal="right"/>
    </xf>
    <xf numFmtId="9" fontId="13" fillId="0" borderId="19" xfId="3" applyNumberFormat="1" applyFont="1" applyBorder="1" applyAlignment="1">
      <alignment horizontal="right"/>
    </xf>
    <xf numFmtId="9" fontId="13" fillId="0" borderId="28" xfId="0" applyNumberFormat="1" applyFont="1" applyBorder="1" applyAlignment="1">
      <alignment horizontal="right"/>
    </xf>
    <xf numFmtId="9" fontId="13" fillId="0" borderId="28" xfId="3" applyNumberFormat="1" applyFont="1" applyBorder="1" applyAlignment="1">
      <alignment horizontal="right"/>
    </xf>
    <xf numFmtId="9" fontId="13" fillId="0" borderId="67" xfId="0" applyNumberFormat="1" applyFont="1" applyBorder="1" applyAlignment="1">
      <alignment horizontal="right"/>
    </xf>
    <xf numFmtId="9" fontId="13" fillId="0" borderId="67" xfId="3" applyNumberFormat="1" applyFont="1" applyBorder="1" applyAlignment="1">
      <alignment horizontal="right"/>
    </xf>
    <xf numFmtId="9" fontId="13" fillId="0" borderId="19" xfId="11" applyNumberFormat="1" applyFont="1" applyBorder="1"/>
    <xf numFmtId="9" fontId="13" fillId="0" borderId="67" xfId="11" applyNumberFormat="1" applyFont="1" applyBorder="1"/>
    <xf numFmtId="0" fontId="13" fillId="5" borderId="19" xfId="3" applyFont="1" applyFill="1" applyBorder="1"/>
    <xf numFmtId="0" fontId="13" fillId="5" borderId="28" xfId="3" applyFont="1" applyFill="1" applyBorder="1"/>
    <xf numFmtId="9" fontId="13" fillId="0" borderId="28" xfId="10" applyNumberFormat="1" applyFont="1" applyFill="1" applyBorder="1"/>
    <xf numFmtId="0" fontId="13" fillId="5" borderId="67" xfId="3" applyFont="1" applyFill="1" applyBorder="1"/>
    <xf numFmtId="9" fontId="13" fillId="0" borderId="19" xfId="12" applyFont="1" applyFill="1" applyBorder="1"/>
    <xf numFmtId="9" fontId="13" fillId="0" borderId="28" xfId="12" applyFont="1" applyFill="1" applyBorder="1"/>
    <xf numFmtId="9" fontId="13" fillId="0" borderId="28" xfId="0" applyNumberFormat="1" applyFont="1" applyBorder="1"/>
    <xf numFmtId="9" fontId="13" fillId="0" borderId="67" xfId="12" applyFont="1" applyFill="1" applyBorder="1"/>
    <xf numFmtId="0" fontId="9" fillId="0" borderId="126" xfId="3" applyFont="1" applyBorder="1" applyAlignment="1">
      <alignment horizontal="center"/>
    </xf>
    <xf numFmtId="0" fontId="9" fillId="0" borderId="42" xfId="3" applyFont="1" applyBorder="1" applyAlignment="1">
      <alignment horizontal="center"/>
    </xf>
    <xf numFmtId="38" fontId="9" fillId="0" borderId="127" xfId="4" applyFont="1" applyFill="1" applyBorder="1"/>
    <xf numFmtId="38" fontId="9" fillId="0" borderId="88" xfId="4" applyFont="1" applyFill="1" applyBorder="1"/>
    <xf numFmtId="38" fontId="9" fillId="0" borderId="128" xfId="4" applyFont="1" applyFill="1" applyBorder="1"/>
    <xf numFmtId="38" fontId="9" fillId="0" borderId="129" xfId="4" applyFont="1" applyFill="1" applyBorder="1"/>
    <xf numFmtId="38" fontId="9" fillId="0" borderId="130" xfId="4" applyFont="1" applyFill="1" applyBorder="1"/>
    <xf numFmtId="38" fontId="9" fillId="0" borderId="131" xfId="4" applyFont="1" applyFill="1" applyBorder="1"/>
    <xf numFmtId="38" fontId="9" fillId="0" borderId="132" xfId="4" applyFont="1" applyFill="1" applyBorder="1"/>
    <xf numFmtId="38" fontId="9" fillId="0" borderId="134" xfId="4" applyFont="1" applyFill="1" applyBorder="1" applyAlignment="1"/>
    <xf numFmtId="38" fontId="9" fillId="0" borderId="39" xfId="4" applyFont="1" applyFill="1" applyBorder="1" applyAlignment="1"/>
    <xf numFmtId="38" fontId="9" fillId="0" borderId="60" xfId="4" applyFont="1" applyFill="1" applyBorder="1" applyAlignment="1"/>
    <xf numFmtId="0" fontId="39" fillId="0" borderId="0" xfId="3" applyFont="1"/>
    <xf numFmtId="0" fontId="40" fillId="0" borderId="0" xfId="3" applyFont="1" applyAlignment="1">
      <alignment horizontal="center"/>
    </xf>
    <xf numFmtId="0" fontId="9" fillId="0" borderId="19" xfId="3" applyFont="1" applyBorder="1"/>
    <xf numFmtId="0" fontId="9" fillId="0" borderId="19" xfId="3" applyFont="1" applyBorder="1" applyAlignment="1">
      <alignment horizontal="center"/>
    </xf>
    <xf numFmtId="9" fontId="10" fillId="0" borderId="0" xfId="3" applyNumberFormat="1" applyFont="1"/>
    <xf numFmtId="9" fontId="9" fillId="0" borderId="0" xfId="7" applyFont="1" applyAlignment="1"/>
    <xf numFmtId="9" fontId="10" fillId="0" borderId="0" xfId="7" applyFont="1" applyAlignment="1"/>
    <xf numFmtId="0" fontId="9" fillId="0" borderId="136" xfId="3" applyFont="1" applyBorder="1" applyAlignment="1">
      <alignment horizontal="center"/>
    </xf>
    <xf numFmtId="0" fontId="9" fillId="0" borderId="137" xfId="3" applyFont="1" applyBorder="1" applyAlignment="1">
      <alignment horizontal="center"/>
    </xf>
    <xf numFmtId="38" fontId="9" fillId="0" borderId="32" xfId="4" applyFont="1" applyBorder="1"/>
    <xf numFmtId="38" fontId="9" fillId="0" borderId="31" xfId="4" applyFont="1" applyFill="1" applyBorder="1"/>
    <xf numFmtId="38" fontId="9" fillId="0" borderId="138" xfId="4" applyFont="1" applyFill="1" applyBorder="1"/>
    <xf numFmtId="38" fontId="9" fillId="0" borderId="139" xfId="4" applyFont="1" applyFill="1" applyBorder="1"/>
    <xf numFmtId="0" fontId="9" fillId="0" borderId="86" xfId="3" applyFont="1" applyBorder="1"/>
    <xf numFmtId="38" fontId="9" fillId="0" borderId="141" xfId="4" applyFont="1" applyFill="1" applyBorder="1"/>
    <xf numFmtId="38" fontId="9" fillId="0" borderId="142" xfId="4" applyFont="1" applyFill="1" applyBorder="1"/>
    <xf numFmtId="38" fontId="9" fillId="0" borderId="143" xfId="4" applyFont="1" applyFill="1" applyBorder="1"/>
    <xf numFmtId="38" fontId="9" fillId="0" borderId="144" xfId="4" applyFont="1" applyFill="1" applyBorder="1"/>
    <xf numFmtId="38" fontId="9" fillId="0" borderId="131" xfId="4" applyFont="1" applyBorder="1"/>
    <xf numFmtId="38" fontId="9" fillId="0" borderId="125" xfId="4" applyFont="1" applyFill="1" applyBorder="1"/>
    <xf numFmtId="38" fontId="9" fillId="0" borderId="124" xfId="4" applyFont="1" applyFill="1" applyBorder="1"/>
    <xf numFmtId="38" fontId="9" fillId="0" borderId="145" xfId="4" applyFont="1" applyFill="1" applyBorder="1"/>
    <xf numFmtId="38" fontId="9" fillId="0" borderId="146" xfId="4" applyFont="1" applyFill="1" applyBorder="1"/>
    <xf numFmtId="38" fontId="9" fillId="0" borderId="147" xfId="4" applyFont="1" applyBorder="1"/>
    <xf numFmtId="38" fontId="9" fillId="0" borderId="148" xfId="4" applyFont="1" applyBorder="1"/>
    <xf numFmtId="38" fontId="9" fillId="0" borderId="148" xfId="4" applyFont="1" applyFill="1" applyBorder="1" applyAlignment="1"/>
    <xf numFmtId="38" fontId="38" fillId="0" borderId="131" xfId="4" applyFont="1" applyBorder="1"/>
    <xf numFmtId="38" fontId="38" fillId="0" borderId="131" xfId="4" applyFont="1" applyFill="1" applyBorder="1"/>
    <xf numFmtId="38" fontId="38" fillId="0" borderId="125" xfId="4" applyFont="1" applyFill="1" applyBorder="1"/>
    <xf numFmtId="38" fontId="38" fillId="0" borderId="124" xfId="4" applyFont="1" applyFill="1" applyBorder="1"/>
    <xf numFmtId="38" fontId="38" fillId="0" borderId="145" xfId="4" applyFont="1" applyFill="1" applyBorder="1"/>
    <xf numFmtId="38" fontId="38" fillId="0" borderId="28" xfId="4" applyFont="1" applyBorder="1"/>
    <xf numFmtId="38" fontId="38" fillId="0" borderId="28" xfId="4" applyFont="1" applyFill="1" applyBorder="1"/>
    <xf numFmtId="38" fontId="38" fillId="0" borderId="27" xfId="4" applyFont="1" applyFill="1" applyBorder="1"/>
    <xf numFmtId="38" fontId="38" fillId="0" borderId="29" xfId="4" applyFont="1" applyFill="1" applyBorder="1"/>
    <xf numFmtId="38" fontId="38" fillId="0" borderId="143" xfId="4" applyFont="1" applyFill="1" applyBorder="1"/>
    <xf numFmtId="38" fontId="38" fillId="5" borderId="24" xfId="4" applyFont="1" applyFill="1" applyBorder="1"/>
    <xf numFmtId="38" fontId="38" fillId="5" borderId="23" xfId="4" applyFont="1" applyFill="1" applyBorder="1"/>
    <xf numFmtId="3" fontId="38" fillId="5" borderId="25" xfId="3" applyNumberFormat="1" applyFont="1" applyFill="1" applyBorder="1"/>
    <xf numFmtId="38" fontId="38" fillId="5" borderId="51" xfId="4" applyFont="1" applyFill="1" applyBorder="1"/>
    <xf numFmtId="38" fontId="38" fillId="5" borderId="88" xfId="4" applyFont="1" applyFill="1" applyBorder="1"/>
    <xf numFmtId="38" fontId="38" fillId="5" borderId="89" xfId="4" applyFont="1" applyFill="1" applyBorder="1"/>
    <xf numFmtId="3" fontId="38" fillId="5" borderId="90" xfId="3" applyNumberFormat="1" applyFont="1" applyFill="1" applyBorder="1"/>
    <xf numFmtId="38" fontId="38" fillId="5" borderId="140" xfId="4" applyFont="1" applyFill="1" applyBorder="1"/>
    <xf numFmtId="38" fontId="38" fillId="5" borderId="36" xfId="4" applyFont="1" applyFill="1" applyBorder="1"/>
    <xf numFmtId="38" fontId="38" fillId="5" borderId="141" xfId="4" applyFont="1" applyFill="1" applyBorder="1"/>
    <xf numFmtId="38" fontId="38" fillId="5" borderId="35" xfId="4" applyFont="1" applyFill="1" applyBorder="1"/>
    <xf numFmtId="38" fontId="38" fillId="5" borderId="37" xfId="4" applyFont="1" applyFill="1" applyBorder="1"/>
    <xf numFmtId="38" fontId="38" fillId="5" borderId="55" xfId="4" applyFont="1" applyFill="1" applyBorder="1"/>
    <xf numFmtId="38" fontId="38" fillId="5" borderId="131" xfId="4" applyFont="1" applyFill="1" applyBorder="1"/>
    <xf numFmtId="38" fontId="38" fillId="5" borderId="125" xfId="4" applyFont="1" applyFill="1" applyBorder="1"/>
    <xf numFmtId="38" fontId="38" fillId="5" borderId="124" xfId="4" applyFont="1" applyFill="1" applyBorder="1"/>
    <xf numFmtId="38" fontId="38" fillId="5" borderId="145" xfId="4" applyFont="1" applyFill="1" applyBorder="1"/>
    <xf numFmtId="38" fontId="38" fillId="5" borderId="146" xfId="4" applyFont="1" applyFill="1" applyBorder="1"/>
    <xf numFmtId="38" fontId="38" fillId="5" borderId="139" xfId="4" applyFont="1" applyFill="1" applyBorder="1"/>
    <xf numFmtId="38" fontId="38" fillId="5" borderId="142" xfId="4" applyFont="1" applyFill="1" applyBorder="1"/>
    <xf numFmtId="38" fontId="38" fillId="5" borderId="28" xfId="4" applyFont="1" applyFill="1" applyBorder="1"/>
    <xf numFmtId="38" fontId="38" fillId="5" borderId="27" xfId="4" applyFont="1" applyFill="1" applyBorder="1"/>
    <xf numFmtId="38" fontId="38" fillId="5" borderId="29" xfId="4" applyFont="1" applyFill="1" applyBorder="1"/>
    <xf numFmtId="38" fontId="38" fillId="5" borderId="143" xfId="4" applyFont="1" applyFill="1" applyBorder="1"/>
    <xf numFmtId="38" fontId="38" fillId="5" borderId="144" xfId="4" applyFont="1" applyFill="1" applyBorder="1"/>
    <xf numFmtId="0" fontId="42" fillId="0" borderId="0" xfId="0" applyFont="1"/>
    <xf numFmtId="0" fontId="43" fillId="0" borderId="0" xfId="0" applyFont="1"/>
    <xf numFmtId="0" fontId="0" fillId="0" borderId="20" xfId="0" applyBorder="1"/>
    <xf numFmtId="0" fontId="0" fillId="0" borderId="14" xfId="0" applyBorder="1"/>
    <xf numFmtId="0" fontId="0" fillId="0" borderId="0" xfId="0" applyBorder="1"/>
    <xf numFmtId="0" fontId="0" fillId="0" borderId="58" xfId="0" applyBorder="1"/>
    <xf numFmtId="0" fontId="0" fillId="0" borderId="29" xfId="0" applyBorder="1"/>
    <xf numFmtId="0" fontId="0" fillId="0" borderId="27" xfId="0" applyBorder="1"/>
    <xf numFmtId="9" fontId="0" fillId="0" borderId="54" xfId="14" applyFont="1" applyBorder="1"/>
    <xf numFmtId="0" fontId="0" fillId="0" borderId="151" xfId="0" applyBorder="1"/>
    <xf numFmtId="0" fontId="0" fillId="0" borderId="152" xfId="0" applyBorder="1"/>
    <xf numFmtId="9" fontId="0" fillId="0" borderId="152" xfId="14" applyFont="1" applyBorder="1"/>
    <xf numFmtId="0" fontId="0" fillId="0" borderId="153" xfId="0" applyBorder="1"/>
    <xf numFmtId="9" fontId="0" fillId="0" borderId="154" xfId="14" applyFont="1" applyBorder="1"/>
    <xf numFmtId="0" fontId="0" fillId="0" borderId="154" xfId="0" applyBorder="1"/>
    <xf numFmtId="0" fontId="0" fillId="0" borderId="54" xfId="0" applyBorder="1"/>
    <xf numFmtId="3" fontId="0" fillId="0" borderId="151" xfId="0" applyNumberFormat="1" applyBorder="1"/>
    <xf numFmtId="3" fontId="0" fillId="0" borderId="153" xfId="0" applyNumberFormat="1" applyBorder="1"/>
    <xf numFmtId="3" fontId="0" fillId="6" borderId="151" xfId="0" applyNumberFormat="1" applyFill="1" applyBorder="1"/>
    <xf numFmtId="0" fontId="0" fillId="0" borderId="45" xfId="0" applyBorder="1"/>
    <xf numFmtId="0" fontId="0" fillId="0" borderId="135" xfId="0" applyBorder="1"/>
    <xf numFmtId="0" fontId="0" fillId="0" borderId="155" xfId="0" applyBorder="1"/>
    <xf numFmtId="0" fontId="0" fillId="0" borderId="156" xfId="0" applyBorder="1"/>
    <xf numFmtId="0" fontId="0" fillId="0" borderId="157" xfId="0" applyBorder="1"/>
    <xf numFmtId="0" fontId="0" fillId="0" borderId="158" xfId="0" applyBorder="1"/>
    <xf numFmtId="0" fontId="0" fillId="0" borderId="159" xfId="0" applyBorder="1"/>
    <xf numFmtId="0" fontId="0" fillId="0" borderId="160" xfId="0" applyBorder="1"/>
    <xf numFmtId="0" fontId="0" fillId="0" borderId="161" xfId="0" applyBorder="1"/>
    <xf numFmtId="0" fontId="0" fillId="0" borderId="162" xfId="0" applyBorder="1"/>
    <xf numFmtId="0" fontId="0" fillId="0" borderId="63" xfId="0" applyBorder="1"/>
    <xf numFmtId="0" fontId="0" fillId="0" borderId="13" xfId="0" applyBorder="1"/>
    <xf numFmtId="0" fontId="0" fillId="0" borderId="28" xfId="0" applyBorder="1"/>
    <xf numFmtId="0" fontId="0" fillId="0" borderId="163" xfId="0" applyBorder="1"/>
    <xf numFmtId="4" fontId="0" fillId="0" borderId="14" xfId="0" applyNumberFormat="1" applyBorder="1"/>
    <xf numFmtId="4" fontId="0" fillId="0" borderId="13" xfId="0" applyNumberFormat="1" applyBorder="1"/>
    <xf numFmtId="4" fontId="0" fillId="0" borderId="58" xfId="0" applyNumberFormat="1" applyBorder="1"/>
    <xf numFmtId="4" fontId="0" fillId="0" borderId="29" xfId="0" applyNumberFormat="1" applyBorder="1"/>
    <xf numFmtId="4" fontId="0" fillId="0" borderId="28" xfId="0" applyNumberFormat="1" applyBorder="1"/>
    <xf numFmtId="4" fontId="0" fillId="0" borderId="54" xfId="0" applyNumberFormat="1" applyBorder="1"/>
    <xf numFmtId="0" fontId="0" fillId="0" borderId="19" xfId="0" applyBorder="1"/>
    <xf numFmtId="0" fontId="0" fillId="0" borderId="164" xfId="0" applyBorder="1"/>
    <xf numFmtId="3" fontId="0" fillId="0" borderId="13" xfId="0" applyNumberFormat="1" applyBorder="1"/>
    <xf numFmtId="3" fontId="0" fillId="0" borderId="58" xfId="0" applyNumberFormat="1" applyBorder="1"/>
    <xf numFmtId="3" fontId="0" fillId="0" borderId="28" xfId="0" applyNumberFormat="1" applyBorder="1"/>
    <xf numFmtId="3" fontId="0" fillId="0" borderId="54" xfId="0" applyNumberFormat="1" applyBorder="1"/>
    <xf numFmtId="0" fontId="0" fillId="0" borderId="165" xfId="0" applyBorder="1"/>
    <xf numFmtId="0" fontId="0" fillId="0" borderId="166" xfId="0" applyBorder="1"/>
    <xf numFmtId="3" fontId="0" fillId="0" borderId="166" xfId="0" applyNumberFormat="1" applyBorder="1"/>
    <xf numFmtId="3" fontId="0" fillId="0" borderId="167" xfId="0" applyNumberFormat="1" applyBorder="1"/>
    <xf numFmtId="0" fontId="0" fillId="0" borderId="65" xfId="0" applyBorder="1"/>
    <xf numFmtId="0" fontId="0" fillId="0" borderId="67" xfId="0" applyBorder="1"/>
    <xf numFmtId="0" fontId="0" fillId="0" borderId="69" xfId="0" applyBorder="1"/>
    <xf numFmtId="3" fontId="0" fillId="0" borderId="65" xfId="0" applyNumberFormat="1" applyBorder="1"/>
    <xf numFmtId="3" fontId="0" fillId="0" borderId="67" xfId="0" applyNumberFormat="1" applyBorder="1"/>
    <xf numFmtId="3" fontId="0" fillId="0" borderId="69" xfId="0" applyNumberFormat="1" applyBorder="1"/>
    <xf numFmtId="9" fontId="0" fillId="0" borderId="28" xfId="14" applyFont="1" applyBorder="1"/>
    <xf numFmtId="0" fontId="0" fillId="0" borderId="170" xfId="0" applyBorder="1"/>
    <xf numFmtId="9" fontId="0" fillId="0" borderId="169" xfId="14" applyFont="1" applyBorder="1"/>
    <xf numFmtId="9" fontId="0" fillId="0" borderId="171" xfId="14" applyFont="1" applyBorder="1"/>
    <xf numFmtId="0" fontId="0" fillId="0" borderId="172" xfId="0" applyBorder="1"/>
    <xf numFmtId="9" fontId="0" fillId="0" borderId="168" xfId="14" applyFont="1" applyBorder="1"/>
    <xf numFmtId="9" fontId="0" fillId="0" borderId="173" xfId="14" applyFont="1" applyBorder="1"/>
    <xf numFmtId="3" fontId="0" fillId="6" borderId="67" xfId="0" applyNumberFormat="1" applyFill="1" applyBorder="1"/>
    <xf numFmtId="3" fontId="0" fillId="6" borderId="65" xfId="0" applyNumberFormat="1" applyFill="1" applyBorder="1"/>
    <xf numFmtId="3" fontId="0" fillId="6" borderId="69" xfId="0" applyNumberFormat="1" applyFill="1" applyBorder="1"/>
    <xf numFmtId="0" fontId="0" fillId="6" borderId="65" xfId="0" applyFill="1" applyBorder="1"/>
    <xf numFmtId="0" fontId="0" fillId="6" borderId="67" xfId="0" applyFill="1" applyBorder="1"/>
    <xf numFmtId="0" fontId="0" fillId="6" borderId="69" xfId="0" applyFill="1" applyBorder="1"/>
    <xf numFmtId="0" fontId="0" fillId="6" borderId="28" xfId="0" applyFill="1" applyBorder="1"/>
    <xf numFmtId="0" fontId="0" fillId="6" borderId="169" xfId="0" applyFill="1" applyBorder="1"/>
    <xf numFmtId="0" fontId="0" fillId="6" borderId="168" xfId="0" applyFill="1" applyBorder="1"/>
    <xf numFmtId="1" fontId="0" fillId="0" borderId="0" xfId="0" applyNumberFormat="1"/>
    <xf numFmtId="0" fontId="42" fillId="0" borderId="174" xfId="0" applyFont="1" applyBorder="1"/>
    <xf numFmtId="0" fontId="0" fillId="0" borderId="175" xfId="0" applyBorder="1"/>
    <xf numFmtId="0" fontId="0" fillId="0" borderId="176" xfId="0" applyBorder="1"/>
    <xf numFmtId="0" fontId="0" fillId="0" borderId="177" xfId="0" applyBorder="1"/>
    <xf numFmtId="0" fontId="0" fillId="0" borderId="178" xfId="0" applyBorder="1"/>
    <xf numFmtId="0" fontId="0" fillId="0" borderId="179" xfId="0" applyBorder="1"/>
    <xf numFmtId="0" fontId="0" fillId="0" borderId="180" xfId="0" applyBorder="1"/>
    <xf numFmtId="0" fontId="0" fillId="0" borderId="181" xfId="0" applyBorder="1"/>
    <xf numFmtId="0" fontId="0" fillId="0" borderId="182" xfId="0" applyBorder="1"/>
    <xf numFmtId="0" fontId="42" fillId="0" borderId="183" xfId="0" applyFont="1" applyBorder="1"/>
    <xf numFmtId="0" fontId="0" fillId="0" borderId="184" xfId="0" applyBorder="1"/>
    <xf numFmtId="0" fontId="0" fillId="0" borderId="185" xfId="0" applyBorder="1"/>
    <xf numFmtId="0" fontId="0" fillId="0" borderId="18" xfId="0" applyBorder="1"/>
    <xf numFmtId="0" fontId="0" fillId="0" borderId="187" xfId="0" applyBorder="1"/>
    <xf numFmtId="0" fontId="0" fillId="0" borderId="68" xfId="0" applyBorder="1"/>
    <xf numFmtId="0" fontId="0" fillId="0" borderId="188" xfId="0" applyBorder="1"/>
    <xf numFmtId="3" fontId="0" fillId="0" borderId="18" xfId="0" applyNumberFormat="1" applyBorder="1"/>
    <xf numFmtId="3" fontId="0" fillId="0" borderId="45" xfId="0" applyNumberFormat="1" applyBorder="1"/>
    <xf numFmtId="3" fontId="0" fillId="0" borderId="187" xfId="0" applyNumberFormat="1" applyBorder="1"/>
    <xf numFmtId="3" fontId="0" fillId="0" borderId="68" xfId="0" applyNumberFormat="1" applyBorder="1"/>
    <xf numFmtId="3" fontId="0" fillId="0" borderId="188" xfId="0" applyNumberFormat="1" applyBorder="1"/>
    <xf numFmtId="3" fontId="0" fillId="0" borderId="186" xfId="0" applyNumberFormat="1" applyBorder="1"/>
    <xf numFmtId="3" fontId="0" fillId="0" borderId="0" xfId="0" applyNumberFormat="1" applyBorder="1"/>
    <xf numFmtId="3" fontId="0" fillId="0" borderId="27" xfId="0" applyNumberFormat="1" applyBorder="1"/>
    <xf numFmtId="3" fontId="0" fillId="0" borderId="155" xfId="0" applyNumberFormat="1" applyBorder="1"/>
    <xf numFmtId="3" fontId="0" fillId="0" borderId="156" xfId="0" applyNumberFormat="1" applyBorder="1"/>
    <xf numFmtId="0" fontId="0" fillId="0" borderId="189" xfId="0" applyBorder="1"/>
    <xf numFmtId="0" fontId="0" fillId="0" borderId="190" xfId="0" applyBorder="1"/>
    <xf numFmtId="0" fontId="0" fillId="0" borderId="192" xfId="0" applyBorder="1"/>
    <xf numFmtId="0" fontId="0" fillId="0" borderId="193" xfId="0" applyBorder="1"/>
    <xf numFmtId="0" fontId="0" fillId="0" borderId="195" xfId="0" applyBorder="1"/>
    <xf numFmtId="0" fontId="0" fillId="0" borderId="196" xfId="0" applyBorder="1"/>
    <xf numFmtId="0" fontId="0" fillId="0" borderId="198" xfId="0" applyBorder="1"/>
    <xf numFmtId="3" fontId="0" fillId="0" borderId="191" xfId="0" applyNumberFormat="1" applyBorder="1"/>
    <xf numFmtId="3" fontId="0" fillId="0" borderId="194" xfId="0" applyNumberFormat="1" applyBorder="1"/>
    <xf numFmtId="3" fontId="0" fillId="0" borderId="197" xfId="0" applyNumberFormat="1" applyBorder="1"/>
    <xf numFmtId="3" fontId="0" fillId="0" borderId="19" xfId="0" applyNumberFormat="1" applyBorder="1"/>
    <xf numFmtId="3" fontId="0" fillId="0" borderId="63" xfId="0" applyNumberFormat="1" applyBorder="1"/>
    <xf numFmtId="3" fontId="0" fillId="0" borderId="0" xfId="0" applyNumberFormat="1"/>
    <xf numFmtId="0" fontId="0" fillId="0" borderId="0" xfId="0" applyFont="1"/>
    <xf numFmtId="0" fontId="46" fillId="0" borderId="0" xfId="0" applyFont="1"/>
    <xf numFmtId="0" fontId="46" fillId="0" borderId="19" xfId="0" applyFont="1" applyBorder="1"/>
    <xf numFmtId="0" fontId="46" fillId="0" borderId="28" xfId="0" applyFont="1" applyBorder="1"/>
    <xf numFmtId="0" fontId="46" fillId="0" borderId="20" xfId="0" applyFont="1" applyBorder="1"/>
    <xf numFmtId="0" fontId="46" fillId="0" borderId="14" xfId="0" applyFont="1" applyBorder="1"/>
    <xf numFmtId="0" fontId="46" fillId="0" borderId="29" xfId="0" applyFont="1" applyBorder="1"/>
    <xf numFmtId="0" fontId="0" fillId="0" borderId="66" xfId="0" applyBorder="1"/>
    <xf numFmtId="0" fontId="0" fillId="0" borderId="70" xfId="0" applyBorder="1"/>
    <xf numFmtId="0" fontId="46" fillId="0" borderId="0" xfId="0" applyFont="1" applyBorder="1"/>
    <xf numFmtId="0" fontId="0" fillId="0" borderId="199" xfId="0" applyBorder="1"/>
    <xf numFmtId="0" fontId="0" fillId="0" borderId="200" xfId="0" applyBorder="1"/>
    <xf numFmtId="0" fontId="46" fillId="0" borderId="65" xfId="0" applyFont="1" applyBorder="1"/>
    <xf numFmtId="0" fontId="46" fillId="0" borderId="67" xfId="0" applyFont="1" applyBorder="1"/>
    <xf numFmtId="0" fontId="46" fillId="0" borderId="69" xfId="0" applyFont="1" applyBorder="1"/>
    <xf numFmtId="167" fontId="0" fillId="0" borderId="0" xfId="0" applyNumberFormat="1" applyBorder="1"/>
    <xf numFmtId="0" fontId="51" fillId="0" borderId="0" xfId="15" applyFont="1"/>
    <xf numFmtId="0" fontId="52" fillId="0" borderId="0" xfId="15" applyFont="1"/>
    <xf numFmtId="0" fontId="50" fillId="0" borderId="0" xfId="15" applyFont="1"/>
    <xf numFmtId="0" fontId="53" fillId="0" borderId="0" xfId="15" applyFont="1"/>
    <xf numFmtId="0" fontId="45" fillId="0" borderId="0" xfId="15" applyFont="1"/>
    <xf numFmtId="0" fontId="52" fillId="0" borderId="0" xfId="18" applyFont="1">
      <alignment vertical="center"/>
    </xf>
    <xf numFmtId="0" fontId="55" fillId="7" borderId="0" xfId="18" applyFont="1" applyFill="1" applyAlignment="1"/>
    <xf numFmtId="0" fontId="53" fillId="0" borderId="2" xfId="15" applyFont="1" applyBorder="1" applyAlignment="1">
      <alignment horizontal="center"/>
    </xf>
    <xf numFmtId="0" fontId="45" fillId="0" borderId="201" xfId="15" applyFont="1" applyBorder="1" applyAlignment="1">
      <alignment horizontal="center"/>
    </xf>
    <xf numFmtId="0" fontId="53" fillId="0" borderId="202" xfId="15" applyFont="1" applyBorder="1" applyAlignment="1">
      <alignment horizontal="center"/>
    </xf>
    <xf numFmtId="0" fontId="53" fillId="0" borderId="201" xfId="15" applyFont="1" applyBorder="1" applyAlignment="1">
      <alignment horizontal="center"/>
    </xf>
    <xf numFmtId="0" fontId="52" fillId="0" borderId="3" xfId="15" applyFont="1" applyBorder="1" applyAlignment="1">
      <alignment horizontal="center"/>
    </xf>
    <xf numFmtId="0" fontId="52" fillId="0" borderId="27" xfId="15" applyFont="1" applyBorder="1" applyAlignment="1">
      <alignment horizontal="center"/>
    </xf>
    <xf numFmtId="0" fontId="53" fillId="0" borderId="3" xfId="15" applyFont="1" applyBorder="1" applyAlignment="1">
      <alignment horizontal="center"/>
    </xf>
    <xf numFmtId="0" fontId="52" fillId="0" borderId="15" xfId="15" applyFont="1" applyBorder="1" applyAlignment="1">
      <alignment horizontal="center"/>
    </xf>
    <xf numFmtId="0" fontId="52" fillId="0" borderId="58" xfId="15" applyFont="1" applyBorder="1" applyAlignment="1">
      <alignment horizontal="center"/>
    </xf>
    <xf numFmtId="0" fontId="52" fillId="0" borderId="20" xfId="15" applyFont="1" applyBorder="1" applyAlignment="1">
      <alignment horizontal="center"/>
    </xf>
    <xf numFmtId="0" fontId="52" fillId="0" borderId="26" xfId="15" applyFont="1" applyBorder="1" applyAlignment="1">
      <alignment horizontal="center"/>
    </xf>
    <xf numFmtId="0" fontId="52" fillId="0" borderId="54" xfId="15" applyFont="1" applyBorder="1" applyAlignment="1">
      <alignment horizontal="center"/>
    </xf>
    <xf numFmtId="0" fontId="53" fillId="0" borderId="26" xfId="15" applyFont="1" applyBorder="1" applyAlignment="1">
      <alignment horizontal="center"/>
    </xf>
    <xf numFmtId="0" fontId="52" fillId="0" borderId="30" xfId="15" applyFont="1" applyBorder="1" applyAlignment="1">
      <alignment horizontal="center"/>
    </xf>
    <xf numFmtId="0" fontId="52" fillId="0" borderId="3" xfId="15" applyFont="1" applyBorder="1" applyAlignment="1">
      <alignment horizontal="left"/>
    </xf>
    <xf numFmtId="172" fontId="52" fillId="0" borderId="58" xfId="15" applyNumberFormat="1" applyFont="1" applyBorder="1" applyAlignment="1">
      <alignment horizontal="center"/>
    </xf>
    <xf numFmtId="172" fontId="52" fillId="0" borderId="58" xfId="15" quotePrefix="1" applyNumberFormat="1" applyFont="1" applyBorder="1" applyAlignment="1">
      <alignment horizontal="center"/>
    </xf>
    <xf numFmtId="172" fontId="52" fillId="0" borderId="0" xfId="15" applyNumberFormat="1" applyFont="1" applyAlignment="1">
      <alignment horizontal="center"/>
    </xf>
    <xf numFmtId="172" fontId="52" fillId="0" borderId="3" xfId="15" applyNumberFormat="1" applyFont="1" applyBorder="1" applyAlignment="1">
      <alignment horizontal="center"/>
    </xf>
    <xf numFmtId="173" fontId="52" fillId="0" borderId="16" xfId="15" applyNumberFormat="1" applyFont="1" applyBorder="1" applyAlignment="1">
      <alignment horizontal="center"/>
    </xf>
    <xf numFmtId="173" fontId="52" fillId="0" borderId="58" xfId="15" applyNumberFormat="1" applyFont="1" applyBorder="1" applyAlignment="1">
      <alignment horizontal="center"/>
    </xf>
    <xf numFmtId="173" fontId="52" fillId="0" borderId="0" xfId="15" applyNumberFormat="1" applyFont="1" applyAlignment="1">
      <alignment horizontal="center"/>
    </xf>
    <xf numFmtId="173" fontId="52" fillId="0" borderId="3" xfId="15" applyNumberFormat="1" applyFont="1" applyBorder="1" applyAlignment="1">
      <alignment horizontal="center"/>
    </xf>
    <xf numFmtId="0" fontId="52" fillId="0" borderId="43" xfId="15" applyFont="1" applyBorder="1" applyAlignment="1">
      <alignment horizontal="left"/>
    </xf>
    <xf numFmtId="174" fontId="52" fillId="0" borderId="132" xfId="15" applyNumberFormat="1" applyFont="1" applyBorder="1" applyAlignment="1">
      <alignment horizontal="center"/>
    </xf>
    <xf numFmtId="174" fontId="52" fillId="0" borderId="203" xfId="15" applyNumberFormat="1" applyFont="1" applyBorder="1" applyAlignment="1">
      <alignment horizontal="center"/>
    </xf>
    <xf numFmtId="0" fontId="52" fillId="0" borderId="43" xfId="15" applyFont="1" applyBorder="1" applyAlignment="1">
      <alignment horizontal="center"/>
    </xf>
    <xf numFmtId="174" fontId="52" fillId="0" borderId="125" xfId="15" applyNumberFormat="1" applyFont="1" applyBorder="1" applyAlignment="1">
      <alignment horizontal="center"/>
    </xf>
    <xf numFmtId="174" fontId="52" fillId="0" borderId="43" xfId="15" applyNumberFormat="1" applyFont="1" applyBorder="1" applyAlignment="1">
      <alignment horizontal="center"/>
    </xf>
    <xf numFmtId="172" fontId="52" fillId="0" borderId="13" xfId="15" quotePrefix="1" applyNumberFormat="1" applyFont="1" applyBorder="1" applyAlignment="1">
      <alignment horizontal="center"/>
    </xf>
    <xf numFmtId="0" fontId="52" fillId="0" borderId="132" xfId="15" applyFont="1" applyBorder="1" applyAlignment="1">
      <alignment horizontal="center"/>
    </xf>
    <xf numFmtId="173" fontId="52" fillId="0" borderId="13" xfId="15" quotePrefix="1" applyNumberFormat="1" applyFont="1" applyBorder="1" applyAlignment="1">
      <alignment horizontal="center"/>
    </xf>
    <xf numFmtId="0" fontId="52" fillId="0" borderId="133" xfId="15" applyFont="1" applyBorder="1" applyAlignment="1">
      <alignment horizontal="center"/>
    </xf>
    <xf numFmtId="0" fontId="52" fillId="0" borderId="204" xfId="15" applyFont="1" applyBorder="1" applyAlignment="1">
      <alignment horizontal="left"/>
    </xf>
    <xf numFmtId="174" fontId="52" fillId="0" borderId="206" xfId="15" applyNumberFormat="1" applyFont="1" applyBorder="1" applyAlignment="1">
      <alignment horizontal="center"/>
    </xf>
    <xf numFmtId="174" fontId="52" fillId="0" borderId="207" xfId="15" applyNumberFormat="1" applyFont="1" applyBorder="1" applyAlignment="1">
      <alignment horizontal="center"/>
    </xf>
    <xf numFmtId="174" fontId="52" fillId="0" borderId="208" xfId="15" applyNumberFormat="1" applyFont="1" applyBorder="1" applyAlignment="1">
      <alignment horizontal="center"/>
    </xf>
    <xf numFmtId="174" fontId="52" fillId="0" borderId="204" xfId="15" applyNumberFormat="1" applyFont="1" applyBorder="1" applyAlignment="1">
      <alignment horizontal="center"/>
    </xf>
    <xf numFmtId="0" fontId="52" fillId="0" borderId="204" xfId="15" applyFont="1" applyBorder="1" applyAlignment="1">
      <alignment horizontal="center"/>
    </xf>
    <xf numFmtId="0" fontId="53" fillId="0" borderId="3" xfId="15" applyFont="1" applyBorder="1" applyAlignment="1">
      <alignment horizontal="left"/>
    </xf>
    <xf numFmtId="3" fontId="45" fillId="0" borderId="3" xfId="15" applyNumberFormat="1" applyFont="1" applyBorder="1" applyAlignment="1">
      <alignment horizontal="center"/>
    </xf>
    <xf numFmtId="172" fontId="53" fillId="0" borderId="58" xfId="15" applyNumberFormat="1" applyFont="1" applyBorder="1" applyAlignment="1">
      <alignment horizontal="center"/>
    </xf>
    <xf numFmtId="172" fontId="53" fillId="0" borderId="0" xfId="15" applyNumberFormat="1" applyFont="1" applyAlignment="1">
      <alignment horizontal="center"/>
    </xf>
    <xf numFmtId="172" fontId="53" fillId="0" borderId="3" xfId="15" applyNumberFormat="1" applyFont="1" applyBorder="1" applyAlignment="1">
      <alignment horizontal="center"/>
    </xf>
    <xf numFmtId="173" fontId="53" fillId="0" borderId="3" xfId="15" applyNumberFormat="1" applyFont="1" applyBorder="1" applyAlignment="1">
      <alignment horizontal="center"/>
    </xf>
    <xf numFmtId="173" fontId="53" fillId="0" borderId="58" xfId="15" applyNumberFormat="1" applyFont="1" applyBorder="1" applyAlignment="1">
      <alignment horizontal="center"/>
    </xf>
    <xf numFmtId="173" fontId="53" fillId="0" borderId="0" xfId="15" applyNumberFormat="1" applyFont="1" applyAlignment="1">
      <alignment horizontal="center"/>
    </xf>
    <xf numFmtId="0" fontId="53" fillId="0" borderId="210" xfId="15" applyFont="1" applyBorder="1" applyAlignment="1">
      <alignment horizontal="left"/>
    </xf>
    <xf numFmtId="0" fontId="45" fillId="0" borderId="210" xfId="15" applyFont="1" applyBorder="1" applyAlignment="1">
      <alignment horizontal="center"/>
    </xf>
    <xf numFmtId="174" fontId="45" fillId="0" borderId="211" xfId="15" applyNumberFormat="1" applyFont="1" applyBorder="1" applyAlignment="1">
      <alignment horizontal="center"/>
    </xf>
    <xf numFmtId="174" fontId="45" fillId="0" borderId="212" xfId="15" applyNumberFormat="1" applyFont="1" applyBorder="1" applyAlignment="1">
      <alignment horizontal="center"/>
    </xf>
    <xf numFmtId="174" fontId="45" fillId="0" borderId="210" xfId="15" applyNumberFormat="1" applyFont="1" applyBorder="1" applyAlignment="1">
      <alignment horizontal="center"/>
    </xf>
    <xf numFmtId="0" fontId="53" fillId="0" borderId="210" xfId="15" applyFont="1" applyBorder="1" applyAlignment="1">
      <alignment horizontal="center"/>
    </xf>
    <xf numFmtId="174" fontId="53" fillId="0" borderId="211" xfId="15" applyNumberFormat="1" applyFont="1" applyBorder="1" applyAlignment="1">
      <alignment horizontal="center"/>
    </xf>
    <xf numFmtId="174" fontId="53" fillId="0" borderId="212" xfId="15" applyNumberFormat="1" applyFont="1" applyBorder="1" applyAlignment="1">
      <alignment horizontal="center"/>
    </xf>
    <xf numFmtId="174" fontId="53" fillId="0" borderId="210" xfId="15" applyNumberFormat="1" applyFont="1" applyBorder="1" applyAlignment="1">
      <alignment horizontal="center"/>
    </xf>
    <xf numFmtId="172" fontId="52" fillId="0" borderId="14" xfId="15" quotePrefix="1" applyNumberFormat="1" applyFont="1" applyBorder="1" applyAlignment="1">
      <alignment horizontal="center"/>
    </xf>
    <xf numFmtId="172" fontId="52" fillId="0" borderId="213" xfId="15" applyNumberFormat="1" applyFont="1" applyBorder="1" applyAlignment="1">
      <alignment horizontal="center"/>
    </xf>
    <xf numFmtId="0" fontId="52" fillId="0" borderId="26" xfId="15" applyFont="1" applyBorder="1" applyAlignment="1">
      <alignment horizontal="left"/>
    </xf>
    <xf numFmtId="174" fontId="52" fillId="0" borderId="54" xfId="15" applyNumberFormat="1" applyFont="1" applyBorder="1" applyAlignment="1">
      <alignment horizontal="center"/>
    </xf>
    <xf numFmtId="174" fontId="52" fillId="0" borderId="108" xfId="15" applyNumberFormat="1" applyFont="1" applyBorder="1" applyAlignment="1">
      <alignment horizontal="center"/>
    </xf>
    <xf numFmtId="174" fontId="52" fillId="0" borderId="26" xfId="15" applyNumberFormat="1" applyFont="1" applyBorder="1" applyAlignment="1">
      <alignment horizontal="center"/>
    </xf>
    <xf numFmtId="3" fontId="45" fillId="0" borderId="16" xfId="15" applyNumberFormat="1" applyFont="1" applyBorder="1" applyAlignment="1">
      <alignment horizontal="center"/>
    </xf>
    <xf numFmtId="3" fontId="53" fillId="0" borderId="58" xfId="17" applyNumberFormat="1" applyFont="1" applyBorder="1" applyAlignment="1">
      <alignment horizontal="center"/>
    </xf>
    <xf numFmtId="3" fontId="53" fillId="0" borderId="13" xfId="17" applyNumberFormat="1" applyFont="1" applyBorder="1" applyAlignment="1">
      <alignment horizontal="center"/>
    </xf>
    <xf numFmtId="3" fontId="53" fillId="0" borderId="14" xfId="17" applyNumberFormat="1" applyFont="1" applyBorder="1" applyAlignment="1">
      <alignment horizontal="center"/>
    </xf>
    <xf numFmtId="3" fontId="53" fillId="0" borderId="3" xfId="17" applyNumberFormat="1" applyFont="1" applyBorder="1" applyAlignment="1">
      <alignment horizontal="center"/>
    </xf>
    <xf numFmtId="173" fontId="53" fillId="0" borderId="16" xfId="15" applyNumberFormat="1" applyFont="1" applyBorder="1" applyAlignment="1">
      <alignment horizontal="center"/>
    </xf>
    <xf numFmtId="173" fontId="53" fillId="0" borderId="58" xfId="17" applyNumberFormat="1" applyFont="1" applyBorder="1" applyAlignment="1">
      <alignment horizontal="center"/>
    </xf>
    <xf numFmtId="173" fontId="53" fillId="0" borderId="13" xfId="17" applyNumberFormat="1" applyFont="1" applyBorder="1" applyAlignment="1">
      <alignment horizontal="center"/>
    </xf>
    <xf numFmtId="173" fontId="53" fillId="0" borderId="14" xfId="17" applyNumberFormat="1" applyFont="1" applyBorder="1" applyAlignment="1">
      <alignment horizontal="center"/>
    </xf>
    <xf numFmtId="173" fontId="53" fillId="0" borderId="3" xfId="17" applyNumberFormat="1" applyFont="1" applyBorder="1" applyAlignment="1">
      <alignment horizontal="center"/>
    </xf>
    <xf numFmtId="0" fontId="53" fillId="0" borderId="4" xfId="15" applyFont="1" applyBorder="1" applyAlignment="1">
      <alignment horizontal="left"/>
    </xf>
    <xf numFmtId="0" fontId="53" fillId="0" borderId="123" xfId="15" applyFont="1" applyBorder="1" applyAlignment="1">
      <alignment horizontal="center"/>
    </xf>
    <xf numFmtId="174" fontId="53" fillId="0" borderId="60" xfId="15" applyNumberFormat="1" applyFont="1" applyBorder="1" applyAlignment="1">
      <alignment horizontal="center"/>
    </xf>
    <xf numFmtId="174" fontId="53" fillId="0" borderId="38" xfId="15" applyNumberFormat="1" applyFont="1" applyBorder="1" applyAlignment="1">
      <alignment horizontal="center"/>
    </xf>
    <xf numFmtId="174" fontId="53" fillId="0" borderId="4" xfId="15" applyNumberFormat="1" applyFont="1" applyBorder="1" applyAlignment="1">
      <alignment horizontal="center"/>
    </xf>
    <xf numFmtId="174" fontId="53" fillId="0" borderId="0" xfId="15" applyNumberFormat="1" applyFont="1" applyAlignment="1">
      <alignment horizontal="center"/>
    </xf>
    <xf numFmtId="174" fontId="52" fillId="0" borderId="214" xfId="15" applyNumberFormat="1" applyFont="1" applyBorder="1" applyAlignment="1">
      <alignment horizontal="center"/>
    </xf>
    <xf numFmtId="173" fontId="44" fillId="0" borderId="3" xfId="15" applyNumberFormat="1" applyFont="1" applyBorder="1" applyAlignment="1">
      <alignment horizontal="center"/>
    </xf>
    <xf numFmtId="0" fontId="44" fillId="0" borderId="3" xfId="15" applyFont="1" applyBorder="1" applyAlignment="1">
      <alignment horizontal="center"/>
    </xf>
    <xf numFmtId="174" fontId="44" fillId="0" borderId="132" xfId="15" applyNumberFormat="1" applyFont="1" applyBorder="1" applyAlignment="1">
      <alignment horizontal="center"/>
    </xf>
    <xf numFmtId="174" fontId="44" fillId="0" borderId="125" xfId="15" applyNumberFormat="1" applyFont="1" applyBorder="1" applyAlignment="1">
      <alignment horizontal="center"/>
    </xf>
    <xf numFmtId="174" fontId="44" fillId="0" borderId="43" xfId="15" applyNumberFormat="1" applyFont="1" applyBorder="1" applyAlignment="1">
      <alignment horizontal="center"/>
    </xf>
    <xf numFmtId="0" fontId="44" fillId="0" borderId="132" xfId="15" applyFont="1" applyBorder="1" applyAlignment="1">
      <alignment horizontal="center"/>
    </xf>
    <xf numFmtId="0" fontId="44" fillId="0" borderId="15" xfId="15" applyFont="1" applyBorder="1" applyAlignment="1">
      <alignment horizontal="center"/>
    </xf>
    <xf numFmtId="174" fontId="44" fillId="0" borderId="131" xfId="15" applyNumberFormat="1" applyFont="1" applyBorder="1" applyAlignment="1">
      <alignment horizontal="center"/>
    </xf>
    <xf numFmtId="0" fontId="44" fillId="0" borderId="204" xfId="15" applyFont="1" applyBorder="1" applyAlignment="1">
      <alignment horizontal="center"/>
    </xf>
    <xf numFmtId="174" fontId="44" fillId="0" borderId="207" xfId="15" applyNumberFormat="1" applyFont="1" applyBorder="1" applyAlignment="1">
      <alignment horizontal="center"/>
    </xf>
    <xf numFmtId="174" fontId="44" fillId="0" borderId="208" xfId="15" applyNumberFormat="1" applyFont="1" applyBorder="1" applyAlignment="1">
      <alignment horizontal="center"/>
    </xf>
    <xf numFmtId="174" fontId="44" fillId="0" borderId="204" xfId="15" applyNumberFormat="1" applyFont="1" applyBorder="1" applyAlignment="1">
      <alignment horizontal="center"/>
    </xf>
    <xf numFmtId="173" fontId="54" fillId="0" borderId="3" xfId="15" applyNumberFormat="1" applyFont="1" applyBorder="1" applyAlignment="1">
      <alignment horizontal="center"/>
    </xf>
    <xf numFmtId="173" fontId="54" fillId="0" borderId="58" xfId="15" applyNumberFormat="1" applyFont="1" applyBorder="1" applyAlignment="1">
      <alignment horizontal="center"/>
    </xf>
    <xf numFmtId="173" fontId="54" fillId="0" borderId="0" xfId="15" applyNumberFormat="1" applyFont="1" applyAlignment="1">
      <alignment horizontal="center"/>
    </xf>
    <xf numFmtId="0" fontId="54" fillId="0" borderId="210" xfId="15" applyFont="1" applyBorder="1" applyAlignment="1">
      <alignment horizontal="center"/>
    </xf>
    <xf numFmtId="174" fontId="54" fillId="0" borderId="211" xfId="15" applyNumberFormat="1" applyFont="1" applyBorder="1" applyAlignment="1">
      <alignment horizontal="center"/>
    </xf>
    <xf numFmtId="174" fontId="54" fillId="0" borderId="212" xfId="15" applyNumberFormat="1" applyFont="1" applyBorder="1" applyAlignment="1">
      <alignment horizontal="center"/>
    </xf>
    <xf numFmtId="174" fontId="54" fillId="0" borderId="210" xfId="15" applyNumberFormat="1" applyFont="1" applyBorder="1" applyAlignment="1">
      <alignment horizontal="center"/>
    </xf>
    <xf numFmtId="173" fontId="44" fillId="0" borderId="58" xfId="15" applyNumberFormat="1" applyFont="1" applyBorder="1" applyAlignment="1">
      <alignment horizontal="center"/>
    </xf>
    <xf numFmtId="172" fontId="44" fillId="0" borderId="13" xfId="15" quotePrefix="1" applyNumberFormat="1" applyFont="1" applyBorder="1" applyAlignment="1">
      <alignment horizontal="center"/>
    </xf>
    <xf numFmtId="0" fontId="44" fillId="0" borderId="30" xfId="15" applyFont="1" applyBorder="1" applyAlignment="1">
      <alignment horizontal="center"/>
    </xf>
    <xf numFmtId="174" fontId="44" fillId="0" borderId="54" xfId="15" applyNumberFormat="1" applyFont="1" applyBorder="1" applyAlignment="1">
      <alignment horizontal="center"/>
    </xf>
    <xf numFmtId="174" fontId="44" fillId="0" borderId="108" xfId="15" applyNumberFormat="1" applyFont="1" applyBorder="1" applyAlignment="1">
      <alignment horizontal="center"/>
    </xf>
    <xf numFmtId="174" fontId="44" fillId="0" borderId="26" xfId="15" applyNumberFormat="1" applyFont="1" applyBorder="1" applyAlignment="1">
      <alignment horizontal="center"/>
    </xf>
    <xf numFmtId="173" fontId="54" fillId="0" borderId="16" xfId="15" applyNumberFormat="1" applyFont="1" applyBorder="1" applyAlignment="1">
      <alignment horizontal="center"/>
    </xf>
    <xf numFmtId="173" fontId="54" fillId="0" borderId="58" xfId="17" applyNumberFormat="1" applyFont="1" applyBorder="1" applyAlignment="1">
      <alignment horizontal="center"/>
    </xf>
    <xf numFmtId="173" fontId="54" fillId="0" borderId="13" xfId="17" applyNumberFormat="1" applyFont="1" applyBorder="1" applyAlignment="1">
      <alignment horizontal="center"/>
    </xf>
    <xf numFmtId="173" fontId="54" fillId="0" borderId="14" xfId="17" applyNumberFormat="1" applyFont="1" applyBorder="1" applyAlignment="1">
      <alignment horizontal="center"/>
    </xf>
    <xf numFmtId="173" fontId="54" fillId="0" borderId="3" xfId="17" applyNumberFormat="1" applyFont="1" applyBorder="1" applyAlignment="1">
      <alignment horizontal="center"/>
    </xf>
    <xf numFmtId="174" fontId="52" fillId="0" borderId="131" xfId="15" applyNumberFormat="1" applyFont="1" applyBorder="1" applyAlignment="1">
      <alignment horizontal="center"/>
    </xf>
    <xf numFmtId="0" fontId="55" fillId="7" borderId="0" xfId="16" applyFont="1" applyFill="1">
      <alignment vertical="center"/>
    </xf>
    <xf numFmtId="0" fontId="45" fillId="0" borderId="123" xfId="15" applyFont="1" applyBorder="1" applyAlignment="1">
      <alignment horizontal="center"/>
    </xf>
    <xf numFmtId="0" fontId="53" fillId="0" borderId="0" xfId="15" applyFont="1" applyAlignment="1">
      <alignment horizontal="center"/>
    </xf>
    <xf numFmtId="0" fontId="52" fillId="0" borderId="0" xfId="15" applyFont="1" applyAlignment="1">
      <alignment horizontal="center"/>
    </xf>
    <xf numFmtId="174" fontId="52" fillId="0" borderId="0" xfId="15" applyNumberFormat="1" applyFont="1" applyAlignment="1">
      <alignment horizontal="center"/>
    </xf>
    <xf numFmtId="3" fontId="45" fillId="0" borderId="209" xfId="15" applyNumberFormat="1" applyFont="1" applyBorder="1" applyAlignment="1">
      <alignment horizontal="center"/>
    </xf>
    <xf numFmtId="3" fontId="53" fillId="0" borderId="0" xfId="17" applyNumberFormat="1" applyFont="1" applyAlignment="1">
      <alignment horizontal="center"/>
    </xf>
    <xf numFmtId="0" fontId="0" fillId="0" borderId="215" xfId="0" applyBorder="1"/>
    <xf numFmtId="3" fontId="0" fillId="0" borderId="215" xfId="0" applyNumberFormat="1" applyBorder="1"/>
    <xf numFmtId="0" fontId="0" fillId="0" borderId="0" xfId="0" applyFill="1" applyBorder="1"/>
    <xf numFmtId="0" fontId="0" fillId="0" borderId="13" xfId="0" applyFill="1" applyBorder="1"/>
    <xf numFmtId="0" fontId="0" fillId="0" borderId="28" xfId="0" applyFill="1" applyBorder="1"/>
    <xf numFmtId="0" fontId="0" fillId="0" borderId="65" xfId="0" applyFill="1" applyBorder="1"/>
    <xf numFmtId="9" fontId="0" fillId="0" borderId="19" xfId="14" applyFont="1" applyBorder="1"/>
    <xf numFmtId="9" fontId="0" fillId="0" borderId="67" xfId="14" applyFont="1" applyBorder="1"/>
    <xf numFmtId="9" fontId="0" fillId="0" borderId="215" xfId="14" applyFont="1" applyBorder="1"/>
    <xf numFmtId="0" fontId="0" fillId="0" borderId="216" xfId="0" applyBorder="1"/>
    <xf numFmtId="3" fontId="0" fillId="0" borderId="216" xfId="0" applyNumberFormat="1" applyBorder="1"/>
    <xf numFmtId="0" fontId="0" fillId="0" borderId="217" xfId="0" applyFill="1" applyBorder="1"/>
    <xf numFmtId="3" fontId="0" fillId="0" borderId="217" xfId="0" applyNumberFormat="1" applyBorder="1"/>
    <xf numFmtId="0" fontId="0" fillId="0" borderId="19" xfId="0" applyFill="1" applyBorder="1"/>
    <xf numFmtId="0" fontId="0" fillId="5" borderId="67" xfId="0" applyFill="1" applyBorder="1"/>
    <xf numFmtId="3" fontId="0" fillId="5" borderId="67" xfId="0" applyNumberFormat="1" applyFill="1" applyBorder="1"/>
    <xf numFmtId="0" fontId="0" fillId="5" borderId="19" xfId="0" applyFill="1" applyBorder="1"/>
    <xf numFmtId="3" fontId="0" fillId="5" borderId="19" xfId="0" applyNumberFormat="1" applyFill="1" applyBorder="1"/>
    <xf numFmtId="0" fontId="0" fillId="5" borderId="215" xfId="0" applyFill="1" applyBorder="1"/>
    <xf numFmtId="3" fontId="0" fillId="5" borderId="215" xfId="0" applyNumberFormat="1" applyFill="1" applyBorder="1"/>
    <xf numFmtId="3" fontId="0" fillId="5" borderId="28" xfId="0" applyNumberFormat="1" applyFill="1" applyBorder="1"/>
    <xf numFmtId="3" fontId="57" fillId="5" borderId="65" xfId="0" applyNumberFormat="1" applyFont="1" applyFill="1" applyBorder="1"/>
    <xf numFmtId="3" fontId="57" fillId="5" borderId="217" xfId="0" applyNumberFormat="1" applyFont="1" applyFill="1" applyBorder="1"/>
    <xf numFmtId="3" fontId="57" fillId="5" borderId="13" xfId="0" applyNumberFormat="1" applyFont="1" applyFill="1" applyBorder="1"/>
    <xf numFmtId="9" fontId="57" fillId="5" borderId="67" xfId="14" applyFont="1" applyFill="1" applyBorder="1"/>
    <xf numFmtId="9" fontId="57" fillId="5" borderId="28" xfId="14" applyFont="1" applyFill="1" applyBorder="1"/>
    <xf numFmtId="9" fontId="57" fillId="5" borderId="19" xfId="14" applyFont="1" applyFill="1" applyBorder="1"/>
    <xf numFmtId="9" fontId="57" fillId="5" borderId="215" xfId="14" applyFont="1" applyFill="1" applyBorder="1"/>
    <xf numFmtId="0" fontId="0" fillId="0" borderId="168" xfId="0" applyBorder="1"/>
    <xf numFmtId="0" fontId="0" fillId="0" borderId="218" xfId="0" applyBorder="1"/>
    <xf numFmtId="3" fontId="0" fillId="0" borderId="168" xfId="0" applyNumberFormat="1" applyBorder="1"/>
    <xf numFmtId="3" fontId="0" fillId="0" borderId="218" xfId="0" applyNumberFormat="1" applyBorder="1"/>
    <xf numFmtId="173" fontId="0" fillId="0" borderId="45" xfId="0" applyNumberFormat="1" applyBorder="1"/>
    <xf numFmtId="173" fontId="0" fillId="0" borderId="58" xfId="0" applyNumberFormat="1" applyBorder="1"/>
    <xf numFmtId="0" fontId="46" fillId="0" borderId="63" xfId="0" applyFont="1" applyBorder="1" applyAlignment="1">
      <alignment horizontal="center"/>
    </xf>
    <xf numFmtId="0" fontId="46" fillId="0" borderId="135" xfId="0" applyFont="1" applyBorder="1" applyAlignment="1">
      <alignment horizontal="left"/>
    </xf>
    <xf numFmtId="0" fontId="0" fillId="0" borderId="19" xfId="0" applyBorder="1" applyAlignment="1">
      <alignment horizontal="center"/>
    </xf>
    <xf numFmtId="0" fontId="0" fillId="0" borderId="13" xfId="0" applyBorder="1" applyAlignment="1">
      <alignment horizontal="center"/>
    </xf>
    <xf numFmtId="0" fontId="0" fillId="0" borderId="28" xfId="0" applyBorder="1" applyAlignment="1">
      <alignment horizontal="center"/>
    </xf>
    <xf numFmtId="173" fontId="0" fillId="0" borderId="54" xfId="0" applyNumberFormat="1" applyBorder="1"/>
    <xf numFmtId="9" fontId="0" fillId="0" borderId="18" xfId="0" applyNumberFormat="1" applyBorder="1"/>
    <xf numFmtId="0" fontId="0" fillId="0" borderId="219" xfId="0" applyBorder="1"/>
    <xf numFmtId="3" fontId="0" fillId="0" borderId="70" xfId="0" applyNumberFormat="1" applyBorder="1"/>
    <xf numFmtId="9" fontId="0" fillId="0" borderId="20" xfId="0" applyNumberFormat="1" applyBorder="1"/>
    <xf numFmtId="0" fontId="9" fillId="0" borderId="0" xfId="3" applyFont="1" applyBorder="1" applyAlignment="1">
      <alignment horizontal="center"/>
    </xf>
    <xf numFmtId="38" fontId="9" fillId="0" borderId="89" xfId="4" applyFont="1" applyFill="1" applyBorder="1"/>
    <xf numFmtId="38" fontId="9" fillId="0" borderId="35" xfId="4" applyFont="1" applyFill="1" applyBorder="1"/>
    <xf numFmtId="38" fontId="9" fillId="0" borderId="38" xfId="4" applyFont="1" applyFill="1" applyBorder="1" applyAlignment="1"/>
    <xf numFmtId="0" fontId="9" fillId="0" borderId="220" xfId="3" applyFont="1" applyBorder="1"/>
    <xf numFmtId="0" fontId="9" fillId="0" borderId="221" xfId="3" applyFont="1" applyBorder="1"/>
    <xf numFmtId="0" fontId="9" fillId="0" borderId="102" xfId="3" applyFont="1" applyBorder="1"/>
    <xf numFmtId="0" fontId="9" fillId="0" borderId="118" xfId="3" applyFont="1" applyBorder="1"/>
    <xf numFmtId="38" fontId="9" fillId="0" borderId="39" xfId="3" applyNumberFormat="1" applyFont="1" applyBorder="1"/>
    <xf numFmtId="0" fontId="9" fillId="0" borderId="76" xfId="3" applyFont="1" applyBorder="1"/>
    <xf numFmtId="0" fontId="9" fillId="0" borderId="32" xfId="3" applyFont="1" applyBorder="1"/>
    <xf numFmtId="38" fontId="9" fillId="0" borderId="32" xfId="3" applyNumberFormat="1" applyFont="1" applyBorder="1"/>
    <xf numFmtId="0" fontId="9" fillId="0" borderId="97" xfId="3" applyFont="1" applyBorder="1"/>
    <xf numFmtId="0" fontId="9" fillId="0" borderId="36" xfId="3" applyFont="1" applyBorder="1"/>
    <xf numFmtId="38" fontId="9" fillId="0" borderId="36" xfId="3" applyNumberFormat="1" applyFont="1" applyBorder="1"/>
    <xf numFmtId="9" fontId="9" fillId="0" borderId="0" xfId="3" applyNumberFormat="1" applyFont="1" applyBorder="1"/>
    <xf numFmtId="0" fontId="9" fillId="0" borderId="19" xfId="0" applyFont="1" applyBorder="1" applyAlignment="1">
      <alignment horizontal="left"/>
    </xf>
    <xf numFmtId="0" fontId="9" fillId="0" borderId="28" xfId="0" applyFont="1" applyBorder="1"/>
    <xf numFmtId="0" fontId="9" fillId="0" borderId="28" xfId="3" applyFont="1" applyBorder="1"/>
    <xf numFmtId="0" fontId="9" fillId="0" borderId="24" xfId="0" applyFont="1" applyBorder="1" applyAlignment="1">
      <alignment horizontal="left"/>
    </xf>
    <xf numFmtId="0" fontId="9" fillId="0" borderId="24" xfId="3" applyFont="1" applyBorder="1"/>
    <xf numFmtId="0" fontId="9" fillId="0" borderId="19" xfId="13" applyFont="1" applyBorder="1">
      <alignment vertical="center"/>
    </xf>
    <xf numFmtId="0" fontId="9" fillId="0" borderId="24" xfId="13" applyFont="1" applyBorder="1">
      <alignment vertical="center"/>
    </xf>
    <xf numFmtId="3" fontId="9" fillId="0" borderId="19" xfId="13" applyNumberFormat="1" applyFont="1" applyBorder="1">
      <alignment vertical="center"/>
    </xf>
    <xf numFmtId="3" fontId="9" fillId="0" borderId="24" xfId="13" applyNumberFormat="1" applyFont="1" applyBorder="1">
      <alignment vertical="center"/>
    </xf>
    <xf numFmtId="9" fontId="9" fillId="0" borderId="19" xfId="0" applyNumberFormat="1" applyFont="1" applyBorder="1" applyAlignment="1">
      <alignment horizontal="right"/>
    </xf>
    <xf numFmtId="9" fontId="9" fillId="0" borderId="19" xfId="3" applyNumberFormat="1" applyFont="1" applyBorder="1"/>
    <xf numFmtId="9" fontId="9" fillId="0" borderId="19" xfId="13" applyNumberFormat="1" applyFont="1" applyBorder="1">
      <alignment vertical="center"/>
    </xf>
    <xf numFmtId="9" fontId="9" fillId="0" borderId="28" xfId="0" applyNumberFormat="1" applyFont="1" applyBorder="1" applyAlignment="1">
      <alignment horizontal="right"/>
    </xf>
    <xf numFmtId="9" fontId="9" fillId="0" borderId="28" xfId="3" applyNumberFormat="1" applyFont="1" applyBorder="1"/>
    <xf numFmtId="9" fontId="9" fillId="0" borderId="24" xfId="0" applyNumberFormat="1" applyFont="1" applyBorder="1" applyAlignment="1">
      <alignment horizontal="right"/>
    </xf>
    <xf numFmtId="9" fontId="9" fillId="0" borderId="24" xfId="3" applyNumberFormat="1" applyFont="1" applyBorder="1"/>
    <xf numFmtId="9" fontId="9" fillId="0" borderId="24" xfId="13" applyNumberFormat="1" applyFont="1" applyBorder="1">
      <alignment vertical="center"/>
    </xf>
    <xf numFmtId="9" fontId="9" fillId="5" borderId="19" xfId="0" applyNumberFormat="1" applyFont="1" applyFill="1" applyBorder="1" applyAlignment="1">
      <alignment horizontal="left"/>
    </xf>
    <xf numFmtId="9" fontId="9" fillId="5" borderId="28" xfId="0" applyNumberFormat="1" applyFont="1" applyFill="1" applyBorder="1"/>
    <xf numFmtId="9" fontId="9" fillId="5" borderId="24" xfId="0" applyNumberFormat="1" applyFont="1" applyFill="1" applyBorder="1" applyAlignment="1">
      <alignment horizontal="left"/>
    </xf>
    <xf numFmtId="0" fontId="9" fillId="0" borderId="19" xfId="0" applyFont="1" applyBorder="1" applyAlignment="1">
      <alignment horizontal="right"/>
    </xf>
    <xf numFmtId="0" fontId="9" fillId="0" borderId="24" xfId="0" applyFont="1" applyBorder="1" applyAlignment="1">
      <alignment horizontal="right"/>
    </xf>
    <xf numFmtId="3" fontId="9" fillId="0" borderId="19" xfId="0" applyNumberFormat="1" applyFont="1" applyBorder="1" applyAlignment="1">
      <alignment horizontal="right"/>
    </xf>
    <xf numFmtId="0" fontId="39" fillId="0" borderId="0" xfId="3" applyFont="1" applyBorder="1"/>
    <xf numFmtId="0" fontId="9" fillId="0" borderId="0" xfId="3" applyFont="1" applyBorder="1"/>
    <xf numFmtId="0" fontId="9" fillId="0" borderId="0" xfId="3" applyFont="1" applyAlignment="1">
      <alignment horizontal="left"/>
    </xf>
    <xf numFmtId="0" fontId="59" fillId="0" borderId="0" xfId="3" applyFont="1" applyBorder="1" applyAlignment="1">
      <alignment horizontal="center"/>
    </xf>
    <xf numFmtId="0" fontId="58" fillId="0" borderId="0" xfId="3" applyFont="1" applyBorder="1" applyAlignment="1">
      <alignment horizontal="center"/>
    </xf>
    <xf numFmtId="0" fontId="56" fillId="0" borderId="0" xfId="0" applyFont="1" applyBorder="1"/>
    <xf numFmtId="0" fontId="58" fillId="0" borderId="20" xfId="3" applyFont="1" applyBorder="1"/>
    <xf numFmtId="0" fontId="56" fillId="0" borderId="18" xfId="0" applyFont="1" applyBorder="1"/>
    <xf numFmtId="0" fontId="56" fillId="0" borderId="45" xfId="0" applyFont="1" applyBorder="1"/>
    <xf numFmtId="0" fontId="58" fillId="0" borderId="14" xfId="3" applyFont="1" applyBorder="1"/>
    <xf numFmtId="0" fontId="56" fillId="0" borderId="58" xfId="0" applyFont="1" applyBorder="1"/>
    <xf numFmtId="0" fontId="58" fillId="0" borderId="14" xfId="3" applyFont="1" applyBorder="1" applyAlignment="1">
      <alignment horizontal="left"/>
    </xf>
    <xf numFmtId="9" fontId="58" fillId="0" borderId="0" xfId="3" applyNumberFormat="1" applyFont="1" applyBorder="1"/>
    <xf numFmtId="0" fontId="58" fillId="0" borderId="0" xfId="3" applyFont="1" applyBorder="1"/>
    <xf numFmtId="9" fontId="56" fillId="0" borderId="0" xfId="0" applyNumberFormat="1" applyFont="1" applyBorder="1"/>
    <xf numFmtId="0" fontId="56" fillId="0" borderId="29" xfId="0" applyFont="1" applyBorder="1"/>
    <xf numFmtId="3" fontId="58" fillId="0" borderId="27" xfId="3" applyNumberFormat="1" applyFont="1" applyFill="1" applyBorder="1"/>
    <xf numFmtId="0" fontId="56" fillId="0" borderId="20" xfId="0" applyFont="1" applyBorder="1"/>
    <xf numFmtId="0" fontId="56" fillId="0" borderId="14" xfId="0" applyFont="1" applyBorder="1"/>
    <xf numFmtId="0" fontId="56" fillId="0" borderId="27" xfId="0" applyFont="1" applyBorder="1"/>
    <xf numFmtId="0" fontId="10" fillId="0" borderId="0" xfId="3" applyFont="1" applyAlignment="1">
      <alignment horizontal="left"/>
    </xf>
    <xf numFmtId="167" fontId="13" fillId="0" borderId="43" xfId="3" applyNumberFormat="1" applyFont="1" applyBorder="1"/>
    <xf numFmtId="167" fontId="13" fillId="0" borderId="22" xfId="3" applyNumberFormat="1" applyFont="1" applyBorder="1"/>
    <xf numFmtId="3" fontId="13" fillId="0" borderId="17" xfId="3" applyNumberFormat="1" applyFont="1" applyBorder="1"/>
    <xf numFmtId="3" fontId="13" fillId="0" borderId="22" xfId="3" applyNumberFormat="1" applyFont="1" applyBorder="1"/>
    <xf numFmtId="3" fontId="13" fillId="0" borderId="34" xfId="3" applyNumberFormat="1" applyFont="1" applyBorder="1"/>
    <xf numFmtId="167" fontId="13" fillId="0" borderId="34" xfId="3" applyNumberFormat="1" applyFont="1" applyBorder="1" applyAlignment="1">
      <alignment horizontal="right"/>
    </xf>
    <xf numFmtId="0" fontId="8" fillId="0" borderId="0" xfId="6" applyFont="1"/>
    <xf numFmtId="0" fontId="60" fillId="0" borderId="0" xfId="6" applyFont="1"/>
    <xf numFmtId="3" fontId="9" fillId="0" borderId="13" xfId="3" applyNumberFormat="1" applyFont="1" applyFill="1" applyBorder="1"/>
    <xf numFmtId="9" fontId="0" fillId="0" borderId="65" xfId="14" applyNumberFormat="1" applyFont="1" applyBorder="1"/>
    <xf numFmtId="9" fontId="0" fillId="0" borderId="67" xfId="14" applyNumberFormat="1" applyFont="1" applyBorder="1"/>
    <xf numFmtId="9" fontId="0" fillId="0" borderId="69" xfId="14" applyNumberFormat="1" applyFont="1" applyBorder="1"/>
    <xf numFmtId="0" fontId="45" fillId="0" borderId="0" xfId="0" applyFont="1"/>
    <xf numFmtId="0" fontId="0" fillId="0" borderId="169" xfId="0" applyBorder="1"/>
    <xf numFmtId="3" fontId="0" fillId="0" borderId="169" xfId="0" applyNumberFormat="1" applyBorder="1"/>
    <xf numFmtId="0" fontId="0" fillId="0" borderId="223" xfId="0" applyBorder="1"/>
    <xf numFmtId="3" fontId="0" fillId="0" borderId="223" xfId="0" applyNumberFormat="1" applyBorder="1"/>
    <xf numFmtId="9" fontId="0" fillId="0" borderId="223" xfId="14" applyFont="1" applyBorder="1"/>
    <xf numFmtId="0" fontId="61" fillId="3" borderId="3" xfId="20" applyFill="1" applyBorder="1"/>
    <xf numFmtId="38" fontId="9" fillId="0" borderId="0" xfId="4" applyFont="1" applyBorder="1"/>
    <xf numFmtId="0" fontId="9" fillId="0" borderId="0" xfId="4" applyNumberFormat="1" applyFont="1" applyBorder="1" applyAlignment="1">
      <alignment horizontal="center"/>
    </xf>
    <xf numFmtId="0" fontId="9" fillId="0" borderId="0" xfId="4" applyNumberFormat="1" applyFont="1" applyFill="1" applyBorder="1" applyAlignment="1">
      <alignment horizontal="center"/>
    </xf>
    <xf numFmtId="165" fontId="14" fillId="0" borderId="0" xfId="5" applyNumberFormat="1" applyFont="1" applyBorder="1">
      <alignment vertical="center"/>
    </xf>
    <xf numFmtId="0" fontId="12" fillId="0" borderId="0" xfId="3" applyFont="1" applyBorder="1"/>
    <xf numFmtId="0" fontId="9" fillId="3" borderId="0" xfId="3" applyFont="1" applyFill="1" applyBorder="1"/>
    <xf numFmtId="0" fontId="15" fillId="0" borderId="0" xfId="3" applyFont="1" applyBorder="1"/>
    <xf numFmtId="38" fontId="9" fillId="0" borderId="0" xfId="3" applyNumberFormat="1" applyFont="1" applyBorder="1"/>
    <xf numFmtId="0" fontId="13" fillId="0" borderId="0" xfId="3" applyFont="1" applyBorder="1"/>
    <xf numFmtId="0" fontId="14" fillId="0" borderId="0" xfId="6" applyFont="1" applyBorder="1"/>
    <xf numFmtId="3" fontId="14" fillId="0" borderId="0" xfId="6" applyNumberFormat="1" applyFont="1" applyBorder="1"/>
    <xf numFmtId="0" fontId="9" fillId="0" borderId="0" xfId="6" applyFont="1" applyBorder="1"/>
    <xf numFmtId="3" fontId="9" fillId="0" borderId="0" xfId="6" applyNumberFormat="1" applyFont="1" applyBorder="1"/>
    <xf numFmtId="3" fontId="9" fillId="0" borderId="89" xfId="3" applyNumberFormat="1" applyFont="1" applyBorder="1"/>
    <xf numFmtId="3" fontId="9" fillId="0" borderId="88" xfId="3" applyNumberFormat="1" applyFont="1" applyBorder="1"/>
    <xf numFmtId="3" fontId="9" fillId="0" borderId="90" xfId="3" applyNumberFormat="1" applyFont="1" applyBorder="1"/>
    <xf numFmtId="3" fontId="9" fillId="5" borderId="88" xfId="3" applyNumberFormat="1" applyFont="1" applyFill="1" applyBorder="1"/>
    <xf numFmtId="9" fontId="19" fillId="0" borderId="63" xfId="14" applyFont="1" applyBorder="1"/>
    <xf numFmtId="9" fontId="0" fillId="0" borderId="27" xfId="0" applyNumberFormat="1" applyBorder="1"/>
    <xf numFmtId="0" fontId="63" fillId="8" borderId="0" xfId="20" applyFont="1" applyFill="1" applyAlignment="1">
      <alignment horizontal="center"/>
    </xf>
    <xf numFmtId="9" fontId="56" fillId="0" borderId="14" xfId="14" applyFont="1" applyBorder="1"/>
    <xf numFmtId="9" fontId="56" fillId="0" borderId="0" xfId="14" applyFont="1" applyBorder="1"/>
    <xf numFmtId="9" fontId="56" fillId="0" borderId="58" xfId="14" applyFont="1" applyBorder="1"/>
    <xf numFmtId="9" fontId="56" fillId="0" borderId="29" xfId="14" applyFont="1" applyBorder="1"/>
    <xf numFmtId="9" fontId="56" fillId="0" borderId="27" xfId="14" applyFont="1" applyBorder="1"/>
    <xf numFmtId="9" fontId="56" fillId="0" borderId="54" xfId="14" applyFont="1" applyBorder="1"/>
    <xf numFmtId="9" fontId="0" fillId="0" borderId="216" xfId="14" applyFont="1" applyBorder="1"/>
    <xf numFmtId="0" fontId="60" fillId="0" borderId="0" xfId="0" applyFont="1"/>
    <xf numFmtId="0" fontId="65" fillId="3" borderId="0" xfId="1" applyFont="1" applyFill="1"/>
    <xf numFmtId="0" fontId="66" fillId="3" borderId="0" xfId="1" applyFont="1" applyFill="1"/>
    <xf numFmtId="0" fontId="0" fillId="0" borderId="20" xfId="0" applyBorder="1" applyAlignment="1">
      <alignment horizontal="center"/>
    </xf>
    <xf numFmtId="0" fontId="0" fillId="0" borderId="58" xfId="0" applyBorder="1" applyAlignment="1">
      <alignment horizontal="right"/>
    </xf>
    <xf numFmtId="9" fontId="0" fillId="0" borderId="54" xfId="0" applyNumberFormat="1" applyBorder="1"/>
    <xf numFmtId="0" fontId="0" fillId="0" borderId="33" xfId="0" applyBorder="1"/>
    <xf numFmtId="9" fontId="0" fillId="0" borderId="48" xfId="0" applyNumberFormat="1" applyBorder="1"/>
    <xf numFmtId="0" fontId="0" fillId="0" borderId="25" xfId="0" applyBorder="1"/>
    <xf numFmtId="9" fontId="0" fillId="0" borderId="50" xfId="0" applyNumberFormat="1" applyBorder="1"/>
    <xf numFmtId="0" fontId="0" fillId="0" borderId="225" xfId="0" applyBorder="1" applyAlignment="1">
      <alignment horizontal="right"/>
    </xf>
    <xf numFmtId="0" fontId="0" fillId="0" borderId="226" xfId="0" applyBorder="1" applyAlignment="1">
      <alignment horizontal="right"/>
    </xf>
    <xf numFmtId="9" fontId="0" fillId="0" borderId="227" xfId="0" applyNumberFormat="1" applyBorder="1"/>
    <xf numFmtId="9" fontId="0" fillId="0" borderId="228" xfId="0" applyNumberFormat="1" applyBorder="1"/>
    <xf numFmtId="9" fontId="0" fillId="0" borderId="229" xfId="0" applyNumberFormat="1" applyBorder="1"/>
    <xf numFmtId="9" fontId="0" fillId="0" borderId="230" xfId="0" applyNumberFormat="1" applyBorder="1"/>
    <xf numFmtId="9" fontId="0" fillId="0" borderId="224" xfId="0" applyNumberFormat="1" applyBorder="1"/>
    <xf numFmtId="9" fontId="0" fillId="0" borderId="231" xfId="0" applyNumberFormat="1" applyBorder="1"/>
    <xf numFmtId="0" fontId="56" fillId="0" borderId="14" xfId="0" applyFont="1" applyFill="1" applyBorder="1"/>
    <xf numFmtId="3" fontId="56" fillId="0" borderId="0" xfId="0" applyNumberFormat="1" applyFont="1"/>
    <xf numFmtId="3" fontId="56" fillId="0" borderId="18" xfId="0" applyNumberFormat="1" applyFont="1" applyFill="1" applyBorder="1"/>
    <xf numFmtId="3" fontId="56" fillId="0" borderId="18" xfId="0" applyNumberFormat="1" applyFont="1" applyBorder="1"/>
    <xf numFmtId="0" fontId="9" fillId="0" borderId="156" xfId="3" applyFont="1" applyBorder="1"/>
    <xf numFmtId="3" fontId="9" fillId="0" borderId="156" xfId="3" applyNumberFormat="1" applyFont="1" applyBorder="1"/>
    <xf numFmtId="38" fontId="9" fillId="0" borderId="18" xfId="4" applyFont="1" applyBorder="1"/>
    <xf numFmtId="3" fontId="9" fillId="3" borderId="156" xfId="3" applyNumberFormat="1" applyFont="1" applyFill="1" applyBorder="1"/>
    <xf numFmtId="38" fontId="9" fillId="0" borderId="23" xfId="4" applyFont="1" applyBorder="1"/>
    <xf numFmtId="38" fontId="9" fillId="0" borderId="27" xfId="4" applyFont="1" applyBorder="1"/>
    <xf numFmtId="3" fontId="9" fillId="3" borderId="54" xfId="3" applyNumberFormat="1" applyFont="1" applyFill="1" applyBorder="1"/>
    <xf numFmtId="3" fontId="9" fillId="3" borderId="28" xfId="3" applyNumberFormat="1" applyFont="1" applyFill="1" applyBorder="1"/>
    <xf numFmtId="38" fontId="9" fillId="0" borderId="135" xfId="4" applyFont="1" applyBorder="1"/>
    <xf numFmtId="38" fontId="9" fillId="0" borderId="63" xfId="4" applyFont="1" applyBorder="1"/>
    <xf numFmtId="38" fontId="9" fillId="0" borderId="63" xfId="4" applyFont="1" applyFill="1" applyBorder="1"/>
    <xf numFmtId="38" fontId="9" fillId="0" borderId="155" xfId="4" applyFont="1" applyFill="1" applyBorder="1"/>
    <xf numFmtId="0" fontId="14" fillId="0" borderId="0" xfId="3" applyFont="1" applyBorder="1"/>
    <xf numFmtId="0" fontId="1" fillId="0" borderId="0" xfId="0" applyFont="1" applyBorder="1"/>
    <xf numFmtId="0" fontId="19" fillId="0" borderId="0" xfId="3" applyFont="1" applyBorder="1"/>
    <xf numFmtId="38" fontId="19" fillId="0" borderId="0" xfId="6" applyNumberFormat="1" applyFont="1" applyBorder="1"/>
    <xf numFmtId="3" fontId="14" fillId="0" borderId="0" xfId="3" applyNumberFormat="1" applyFont="1" applyBorder="1"/>
    <xf numFmtId="38" fontId="19" fillId="0" borderId="0" xfId="3" applyNumberFormat="1" applyFont="1" applyBorder="1"/>
    <xf numFmtId="38" fontId="14" fillId="0" borderId="0" xfId="3" applyNumberFormat="1" applyFont="1" applyBorder="1"/>
    <xf numFmtId="3" fontId="19" fillId="0" borderId="0" xfId="3" applyNumberFormat="1" applyFont="1" applyBorder="1"/>
    <xf numFmtId="0" fontId="67" fillId="0" borderId="0" xfId="3" applyFont="1" applyBorder="1"/>
    <xf numFmtId="0" fontId="0" fillId="0" borderId="29" xfId="0" applyBorder="1" applyAlignment="1">
      <alignment horizontal="center"/>
    </xf>
    <xf numFmtId="0" fontId="0" fillId="0" borderId="33" xfId="0" applyBorder="1" applyAlignment="1">
      <alignment horizontal="center"/>
    </xf>
    <xf numFmtId="0" fontId="0" fillId="0" borderId="25" xfId="0" applyBorder="1" applyAlignment="1">
      <alignment horizontal="center"/>
    </xf>
    <xf numFmtId="0" fontId="0" fillId="0" borderId="33" xfId="0" applyBorder="1" applyAlignment="1">
      <alignment horizontal="left"/>
    </xf>
    <xf numFmtId="0" fontId="0" fillId="0" borderId="25" xfId="0" applyBorder="1" applyAlignment="1">
      <alignment horizontal="left"/>
    </xf>
    <xf numFmtId="0" fontId="0" fillId="0" borderId="29" xfId="0" applyBorder="1" applyAlignment="1">
      <alignment horizontal="left"/>
    </xf>
    <xf numFmtId="3" fontId="56" fillId="0" borderId="31" xfId="0" applyNumberFormat="1" applyFont="1" applyBorder="1"/>
    <xf numFmtId="0" fontId="56" fillId="0" borderId="23" xfId="0" applyFont="1" applyBorder="1"/>
    <xf numFmtId="9" fontId="9" fillId="0" borderId="0" xfId="14" applyFont="1" applyFill="1" applyBorder="1"/>
    <xf numFmtId="173" fontId="0" fillId="0" borderId="0" xfId="14" applyNumberFormat="1" applyFont="1"/>
    <xf numFmtId="0" fontId="61" fillId="0" borderId="3" xfId="20" applyBorder="1"/>
    <xf numFmtId="9" fontId="0" fillId="0" borderId="0" xfId="14" applyFont="1" applyBorder="1"/>
    <xf numFmtId="9" fontId="0" fillId="0" borderId="27" xfId="14" applyFont="1" applyBorder="1"/>
    <xf numFmtId="0" fontId="68" fillId="0" borderId="0" xfId="0" applyFont="1"/>
    <xf numFmtId="3" fontId="68" fillId="0" borderId="13" xfId="0" applyNumberFormat="1" applyFont="1" applyBorder="1"/>
    <xf numFmtId="3" fontId="52" fillId="0" borderId="58" xfId="0" applyNumberFormat="1" applyFont="1" applyBorder="1"/>
    <xf numFmtId="3" fontId="68" fillId="0" borderId="70" xfId="0" applyNumberFormat="1" applyFont="1" applyBorder="1"/>
    <xf numFmtId="3" fontId="68" fillId="0" borderId="58" xfId="0" applyNumberFormat="1" applyFont="1" applyBorder="1"/>
    <xf numFmtId="3" fontId="68" fillId="0" borderId="54" xfId="0" applyNumberFormat="1" applyFont="1" applyBorder="1"/>
    <xf numFmtId="3" fontId="44" fillId="0" borderId="0" xfId="0" applyNumberFormat="1" applyFont="1"/>
    <xf numFmtId="3" fontId="44" fillId="0" borderId="0" xfId="0" applyNumberFormat="1" applyFont="1" applyFill="1" applyAlignment="1">
      <alignment horizontal="right"/>
    </xf>
    <xf numFmtId="3" fontId="44" fillId="0" borderId="0" xfId="0" applyNumberFormat="1" applyFont="1" applyFill="1"/>
    <xf numFmtId="3" fontId="0" fillId="0" borderId="186" xfId="0" applyNumberFormat="1" applyFill="1" applyBorder="1"/>
    <xf numFmtId="3" fontId="68" fillId="0" borderId="0" xfId="0" applyNumberFormat="1" applyFont="1"/>
    <xf numFmtId="0" fontId="0" fillId="0" borderId="0" xfId="0" applyBorder="1" applyAlignment="1">
      <alignment horizontal="left"/>
    </xf>
    <xf numFmtId="0" fontId="1" fillId="0" borderId="0" xfId="15" applyFont="1"/>
    <xf numFmtId="0" fontId="1" fillId="0" borderId="0" xfId="0" applyFont="1"/>
    <xf numFmtId="0" fontId="69" fillId="10" borderId="202" xfId="0" applyFont="1" applyFill="1" applyBorder="1" applyAlignment="1">
      <alignment horizontal="center"/>
    </xf>
    <xf numFmtId="0" fontId="69" fillId="10" borderId="233" xfId="0" applyFont="1" applyFill="1" applyBorder="1" applyAlignment="1">
      <alignment horizontal="center"/>
    </xf>
    <xf numFmtId="0" fontId="8" fillId="10" borderId="2" xfId="15" applyFont="1" applyFill="1" applyBorder="1" applyAlignment="1">
      <alignment horizontal="center"/>
    </xf>
    <xf numFmtId="0" fontId="8" fillId="10" borderId="201" xfId="15" applyFont="1" applyFill="1" applyBorder="1" applyAlignment="1">
      <alignment horizontal="center"/>
    </xf>
    <xf numFmtId="0" fontId="8" fillId="10" borderId="202" xfId="15" applyFont="1" applyFill="1" applyBorder="1" applyAlignment="1">
      <alignment horizontal="centerContinuous"/>
    </xf>
    <xf numFmtId="0" fontId="8" fillId="10" borderId="201" xfId="15" applyFont="1" applyFill="1" applyBorder="1" applyAlignment="1">
      <alignment horizontal="centerContinuous"/>
    </xf>
    <xf numFmtId="0" fontId="0" fillId="10" borderId="0" xfId="0" applyFill="1" applyAlignment="1">
      <alignment horizontal="center"/>
    </xf>
    <xf numFmtId="0" fontId="0" fillId="10" borderId="58" xfId="0" applyFill="1" applyBorder="1" applyAlignment="1">
      <alignment horizontal="center"/>
    </xf>
    <xf numFmtId="0" fontId="0" fillId="10" borderId="236" xfId="0" applyFill="1" applyBorder="1" applyAlignment="1">
      <alignment horizontal="center"/>
    </xf>
    <xf numFmtId="0" fontId="0" fillId="10" borderId="3" xfId="15" applyFont="1" applyFill="1" applyBorder="1" applyAlignment="1">
      <alignment horizontal="center"/>
    </xf>
    <xf numFmtId="0" fontId="0" fillId="10" borderId="15" xfId="15" applyFont="1" applyFill="1" applyBorder="1" applyAlignment="1">
      <alignment horizontal="center"/>
    </xf>
    <xf numFmtId="0" fontId="0" fillId="10" borderId="27" xfId="15" applyFont="1" applyFill="1" applyBorder="1" applyAlignment="1">
      <alignment horizontal="centerContinuous"/>
    </xf>
    <xf numFmtId="0" fontId="0" fillId="10" borderId="30" xfId="15" applyFont="1" applyFill="1" applyBorder="1" applyAlignment="1">
      <alignment horizontal="centerContinuous"/>
    </xf>
    <xf numFmtId="0" fontId="0" fillId="10" borderId="238" xfId="0" applyFill="1" applyBorder="1" applyAlignment="1">
      <alignment horizontal="center" wrapText="1"/>
    </xf>
    <xf numFmtId="0" fontId="0" fillId="10" borderId="58" xfId="15" applyFont="1" applyFill="1" applyBorder="1" applyAlignment="1">
      <alignment horizontal="center"/>
    </xf>
    <xf numFmtId="0" fontId="0" fillId="10" borderId="19" xfId="15" applyFont="1" applyFill="1" applyBorder="1" applyAlignment="1">
      <alignment horizontal="center"/>
    </xf>
    <xf numFmtId="0" fontId="0" fillId="10" borderId="0" xfId="15" applyFont="1" applyFill="1" applyAlignment="1">
      <alignment horizontal="center"/>
    </xf>
    <xf numFmtId="0" fontId="0" fillId="10" borderId="39" xfId="0" applyFill="1" applyBorder="1" applyAlignment="1">
      <alignment horizontal="center" wrapText="1"/>
    </xf>
    <xf numFmtId="0" fontId="0" fillId="10" borderId="26" xfId="15" applyFont="1" applyFill="1" applyBorder="1" applyAlignment="1">
      <alignment horizontal="center"/>
    </xf>
    <xf numFmtId="0" fontId="0" fillId="10" borderId="30" xfId="15" applyFont="1" applyFill="1" applyBorder="1" applyAlignment="1">
      <alignment horizontal="center"/>
    </xf>
    <xf numFmtId="0" fontId="0" fillId="10" borderId="54" xfId="15" applyFont="1" applyFill="1" applyBorder="1" applyAlignment="1">
      <alignment horizontal="center"/>
    </xf>
    <xf numFmtId="0" fontId="0" fillId="10" borderId="28" xfId="15" applyFont="1" applyFill="1" applyBorder="1" applyAlignment="1">
      <alignment horizontal="center"/>
    </xf>
    <xf numFmtId="0" fontId="0" fillId="10" borderId="27" xfId="15" applyFont="1" applyFill="1" applyBorder="1" applyAlignment="1">
      <alignment horizontal="center"/>
    </xf>
    <xf numFmtId="0" fontId="0" fillId="0" borderId="12" xfId="0" applyBorder="1" applyAlignment="1">
      <alignment horizontal="center"/>
    </xf>
    <xf numFmtId="3" fontId="0" fillId="0" borderId="13" xfId="0" applyNumberFormat="1" applyBorder="1" applyAlignment="1">
      <alignment horizontal="center"/>
    </xf>
    <xf numFmtId="3" fontId="0" fillId="0" borderId="0" xfId="0" applyNumberFormat="1" applyAlignment="1">
      <alignment horizontal="center"/>
    </xf>
    <xf numFmtId="3" fontId="0" fillId="0" borderId="15" xfId="0" applyNumberFormat="1" applyBorder="1" applyAlignment="1">
      <alignment horizontal="center"/>
    </xf>
    <xf numFmtId="0" fontId="0" fillId="0" borderId="3" xfId="15" applyFont="1" applyBorder="1"/>
    <xf numFmtId="173" fontId="70" fillId="0" borderId="16" xfId="15" applyNumberFormat="1" applyFont="1" applyBorder="1" applyAlignment="1">
      <alignment horizontal="center"/>
    </xf>
    <xf numFmtId="173" fontId="0" fillId="0" borderId="58" xfId="15" applyNumberFormat="1" applyFont="1" applyBorder="1" applyAlignment="1">
      <alignment horizontal="center"/>
    </xf>
    <xf numFmtId="173" fontId="8" fillId="0" borderId="58" xfId="15" quotePrefix="1" applyNumberFormat="1" applyFont="1" applyBorder="1" applyAlignment="1">
      <alignment horizontal="center"/>
    </xf>
    <xf numFmtId="173" fontId="0" fillId="0" borderId="0" xfId="15" applyNumberFormat="1" applyFont="1" applyAlignment="1">
      <alignment horizontal="center"/>
    </xf>
    <xf numFmtId="173" fontId="0" fillId="0" borderId="222" xfId="15" applyNumberFormat="1" applyFont="1" applyBorder="1" applyAlignment="1">
      <alignment horizontal="center"/>
    </xf>
    <xf numFmtId="173" fontId="0" fillId="0" borderId="201" xfId="15" applyNumberFormat="1" applyFont="1" applyBorder="1" applyAlignment="1">
      <alignment horizontal="center"/>
    </xf>
    <xf numFmtId="0" fontId="0" fillId="0" borderId="239" xfId="0" applyBorder="1" applyAlignment="1">
      <alignment horizontal="center"/>
    </xf>
    <xf numFmtId="3" fontId="0" fillId="0" borderId="240" xfId="0" applyNumberFormat="1" applyBorder="1" applyAlignment="1">
      <alignment horizontal="center"/>
    </xf>
    <xf numFmtId="175" fontId="50" fillId="0" borderId="240" xfId="0" applyNumberFormat="1" applyFont="1" applyBorder="1" applyAlignment="1">
      <alignment horizontal="center"/>
    </xf>
    <xf numFmtId="175" fontId="64" fillId="0" borderId="240" xfId="0" applyNumberFormat="1" applyFont="1" applyBorder="1" applyAlignment="1">
      <alignment horizontal="center"/>
    </xf>
    <xf numFmtId="175" fontId="50" fillId="0" borderId="241" xfId="0" applyNumberFormat="1" applyFont="1" applyBorder="1" applyAlignment="1">
      <alignment horizontal="center"/>
    </xf>
    <xf numFmtId="175" fontId="50" fillId="0" borderId="242" xfId="0" applyNumberFormat="1" applyFont="1" applyBorder="1" applyAlignment="1">
      <alignment horizontal="center"/>
    </xf>
    <xf numFmtId="175" fontId="50" fillId="0" borderId="243" xfId="0" applyNumberFormat="1" applyFont="1" applyBorder="1" applyAlignment="1">
      <alignment horizontal="center"/>
    </xf>
    <xf numFmtId="0" fontId="0" fillId="0" borderId="43" xfId="15" applyFont="1" applyBorder="1"/>
    <xf numFmtId="173" fontId="0" fillId="0" borderId="133" xfId="15" applyNumberFormat="1" applyFont="1" applyBorder="1" applyAlignment="1">
      <alignment horizontal="center"/>
    </xf>
    <xf numFmtId="173" fontId="0" fillId="0" borderId="132" xfId="15" applyNumberFormat="1" applyFont="1" applyBorder="1" applyAlignment="1">
      <alignment horizontal="center"/>
    </xf>
    <xf numFmtId="10" fontId="0" fillId="0" borderId="132" xfId="15" applyNumberFormat="1" applyFont="1" applyBorder="1" applyAlignment="1">
      <alignment horizontal="center"/>
    </xf>
    <xf numFmtId="173" fontId="0" fillId="0" borderId="131" xfId="15" applyNumberFormat="1" applyFont="1" applyBorder="1" applyAlignment="1">
      <alignment horizontal="center"/>
    </xf>
    <xf numFmtId="173" fontId="0" fillId="0" borderId="125" xfId="15" applyNumberFormat="1" applyFont="1" applyBorder="1" applyAlignment="1">
      <alignment horizontal="center"/>
    </xf>
    <xf numFmtId="173" fontId="0" fillId="0" borderId="203" xfId="15" applyNumberFormat="1" applyFont="1" applyBorder="1" applyAlignment="1">
      <alignment horizontal="center"/>
    </xf>
    <xf numFmtId="0" fontId="0" fillId="0" borderId="244" xfId="0" applyBorder="1" applyAlignment="1">
      <alignment horizontal="center"/>
    </xf>
    <xf numFmtId="3" fontId="0" fillId="0" borderId="238" xfId="0" applyNumberFormat="1" applyBorder="1" applyAlignment="1">
      <alignment horizontal="center"/>
    </xf>
    <xf numFmtId="3" fontId="0" fillId="0" borderId="245" xfId="0" applyNumberFormat="1" applyBorder="1" applyAlignment="1">
      <alignment horizontal="center"/>
    </xf>
    <xf numFmtId="3" fontId="0" fillId="0" borderId="246" xfId="0" applyNumberFormat="1" applyBorder="1" applyAlignment="1">
      <alignment horizontal="center"/>
    </xf>
    <xf numFmtId="173" fontId="70" fillId="0" borderId="15" xfId="15" applyNumberFormat="1" applyFont="1" applyBorder="1" applyAlignment="1">
      <alignment horizontal="center"/>
    </xf>
    <xf numFmtId="173" fontId="0" fillId="0" borderId="58" xfId="15" quotePrefix="1" applyNumberFormat="1" applyFont="1" applyBorder="1" applyAlignment="1">
      <alignment horizontal="center"/>
    </xf>
    <xf numFmtId="173" fontId="0" fillId="0" borderId="103" xfId="15" applyNumberFormat="1" applyFont="1" applyBorder="1" applyAlignment="1">
      <alignment horizontal="center"/>
    </xf>
    <xf numFmtId="173" fontId="0" fillId="0" borderId="15" xfId="15" applyNumberFormat="1" applyFont="1" applyBorder="1" applyAlignment="1">
      <alignment horizontal="center"/>
    </xf>
    <xf numFmtId="0" fontId="0" fillId="0" borderId="3" xfId="15" applyFont="1" applyBorder="1" applyAlignment="1">
      <alignment horizontal="left"/>
    </xf>
    <xf numFmtId="173" fontId="8" fillId="0" borderId="58" xfId="15" applyNumberFormat="1" applyFont="1" applyBorder="1" applyAlignment="1">
      <alignment horizontal="center"/>
    </xf>
    <xf numFmtId="173" fontId="8" fillId="0" borderId="15" xfId="15" applyNumberFormat="1" applyFont="1" applyBorder="1" applyAlignment="1">
      <alignment horizontal="center"/>
    </xf>
    <xf numFmtId="10" fontId="0" fillId="0" borderId="58" xfId="15" applyNumberFormat="1" applyFont="1" applyBorder="1" applyAlignment="1">
      <alignment horizontal="center"/>
    </xf>
    <xf numFmtId="173" fontId="0" fillId="0" borderId="13" xfId="15" quotePrefix="1" applyNumberFormat="1" applyFont="1" applyBorder="1" applyAlignment="1">
      <alignment horizontal="center"/>
    </xf>
    <xf numFmtId="173" fontId="0" fillId="0" borderId="0" xfId="15" quotePrefix="1" applyNumberFormat="1" applyFont="1" applyAlignment="1">
      <alignment horizontal="center"/>
    </xf>
    <xf numFmtId="173" fontId="0" fillId="0" borderId="103" xfId="15" quotePrefix="1" applyNumberFormat="1" applyFont="1" applyBorder="1" applyAlignment="1">
      <alignment horizontal="center"/>
    </xf>
    <xf numFmtId="173" fontId="0" fillId="0" borderId="15" xfId="15" quotePrefix="1" applyNumberFormat="1" applyFont="1" applyBorder="1" applyAlignment="1">
      <alignment horizontal="center"/>
    </xf>
    <xf numFmtId="173" fontId="8" fillId="0" borderId="14" xfId="15" quotePrefix="1" applyNumberFormat="1" applyFont="1" applyBorder="1" applyAlignment="1">
      <alignment horizontal="center"/>
    </xf>
    <xf numFmtId="0" fontId="0" fillId="0" borderId="247" xfId="0" applyBorder="1" applyAlignment="1">
      <alignment horizontal="center"/>
    </xf>
    <xf numFmtId="3" fontId="0" fillId="0" borderId="248" xfId="0" applyNumberFormat="1" applyBorder="1" applyAlignment="1">
      <alignment horizontal="center"/>
    </xf>
    <xf numFmtId="175" fontId="50" fillId="0" borderId="248" xfId="0" applyNumberFormat="1" applyFont="1" applyBorder="1" applyAlignment="1">
      <alignment horizontal="center"/>
    </xf>
    <xf numFmtId="175" fontId="64" fillId="0" borderId="248" xfId="0" applyNumberFormat="1" applyFont="1" applyBorder="1" applyAlignment="1">
      <alignment horizontal="center"/>
    </xf>
    <xf numFmtId="175" fontId="50" fillId="0" borderId="249" xfId="0" applyNumberFormat="1" applyFont="1" applyBorder="1" applyAlignment="1">
      <alignment horizontal="center"/>
    </xf>
    <xf numFmtId="175" fontId="50" fillId="0" borderId="250" xfId="0" applyNumberFormat="1" applyFont="1" applyBorder="1" applyAlignment="1">
      <alignment horizontal="center"/>
    </xf>
    <xf numFmtId="0" fontId="0" fillId="0" borderId="4" xfId="15" applyFont="1" applyBorder="1" applyAlignment="1">
      <alignment horizontal="right"/>
    </xf>
    <xf numFmtId="0" fontId="0" fillId="0" borderId="123" xfId="15" applyFont="1" applyBorder="1" applyAlignment="1">
      <alignment horizontal="center"/>
    </xf>
    <xf numFmtId="174" fontId="0" fillId="0" borderId="60" xfId="15" applyNumberFormat="1" applyFont="1" applyBorder="1" applyAlignment="1">
      <alignment horizontal="center"/>
    </xf>
    <xf numFmtId="173" fontId="0" fillId="0" borderId="60" xfId="15" applyNumberFormat="1" applyFont="1" applyBorder="1" applyAlignment="1">
      <alignment horizontal="center"/>
    </xf>
    <xf numFmtId="173" fontId="0" fillId="0" borderId="39" xfId="15" applyNumberFormat="1" applyFont="1" applyBorder="1" applyAlignment="1">
      <alignment horizontal="center"/>
    </xf>
    <xf numFmtId="173" fontId="0" fillId="0" borderId="38" xfId="15" applyNumberFormat="1" applyFont="1" applyBorder="1" applyAlignment="1">
      <alignment horizontal="center"/>
    </xf>
    <xf numFmtId="173" fontId="0" fillId="0" borderId="119" xfId="15" applyNumberFormat="1" applyFont="1" applyBorder="1" applyAlignment="1">
      <alignment horizontal="center"/>
    </xf>
    <xf numFmtId="173" fontId="0" fillId="0" borderId="123" xfId="15" applyNumberFormat="1" applyFont="1" applyBorder="1" applyAlignment="1">
      <alignment horizontal="center"/>
    </xf>
    <xf numFmtId="3" fontId="0" fillId="0" borderId="45" xfId="0" applyNumberFormat="1" applyBorder="1" applyAlignment="1">
      <alignment horizontal="center"/>
    </xf>
    <xf numFmtId="3" fontId="0" fillId="0" borderId="19" xfId="0" applyNumberFormat="1" applyBorder="1" applyAlignment="1">
      <alignment horizontal="center"/>
    </xf>
    <xf numFmtId="3" fontId="0" fillId="0" borderId="18" xfId="0" applyNumberFormat="1" applyBorder="1" applyAlignment="1">
      <alignment horizontal="center"/>
    </xf>
    <xf numFmtId="3" fontId="0" fillId="0" borderId="21" xfId="0" applyNumberFormat="1" applyBorder="1" applyAlignment="1">
      <alignment horizontal="center"/>
    </xf>
    <xf numFmtId="3" fontId="0" fillId="0" borderId="251" xfId="0" applyNumberFormat="1" applyBorder="1" applyAlignment="1">
      <alignment horizontal="center"/>
    </xf>
    <xf numFmtId="175" fontId="50" fillId="0" borderId="252" xfId="0" applyNumberFormat="1" applyFont="1" applyBorder="1" applyAlignment="1">
      <alignment horizontal="center"/>
    </xf>
    <xf numFmtId="175" fontId="50" fillId="0" borderId="253" xfId="0" applyNumberFormat="1" applyFont="1" applyBorder="1" applyAlignment="1">
      <alignment horizontal="center"/>
    </xf>
    <xf numFmtId="175" fontId="50" fillId="0" borderId="254" xfId="0" applyNumberFormat="1" applyFont="1" applyBorder="1" applyAlignment="1">
      <alignment horizontal="center"/>
    </xf>
    <xf numFmtId="3" fontId="56" fillId="0" borderId="13" xfId="0" applyNumberFormat="1" applyFont="1" applyBorder="1" applyAlignment="1">
      <alignment horizontal="center"/>
    </xf>
    <xf numFmtId="3" fontId="56" fillId="0" borderId="0" xfId="0" applyNumberFormat="1" applyFont="1" applyAlignment="1">
      <alignment horizontal="center"/>
    </xf>
    <xf numFmtId="3" fontId="0" fillId="0" borderId="255" xfId="0" applyNumberFormat="1" applyBorder="1" applyAlignment="1">
      <alignment horizontal="center"/>
    </xf>
    <xf numFmtId="175" fontId="64" fillId="0" borderId="256" xfId="0" applyNumberFormat="1" applyFont="1" applyBorder="1" applyAlignment="1">
      <alignment horizontal="center"/>
    </xf>
    <xf numFmtId="0" fontId="0" fillId="0" borderId="257" xfId="0" applyBorder="1" applyAlignment="1">
      <alignment horizontal="center"/>
    </xf>
    <xf numFmtId="3" fontId="0" fillId="0" borderId="258" xfId="0" applyNumberFormat="1" applyBorder="1" applyAlignment="1">
      <alignment horizontal="center"/>
    </xf>
    <xf numFmtId="175" fontId="50" fillId="0" borderId="258" xfId="0" applyNumberFormat="1" applyFont="1" applyBorder="1" applyAlignment="1">
      <alignment horizontal="center"/>
    </xf>
    <xf numFmtId="175" fontId="50" fillId="0" borderId="259" xfId="0" applyNumberFormat="1" applyFont="1" applyBorder="1" applyAlignment="1">
      <alignment horizontal="center"/>
    </xf>
    <xf numFmtId="175" fontId="50" fillId="0" borderId="260" xfId="0" applyNumberFormat="1" applyFont="1" applyBorder="1" applyAlignment="1">
      <alignment horizontal="center"/>
    </xf>
    <xf numFmtId="0" fontId="54" fillId="0" borderId="0" xfId="15" applyFont="1"/>
    <xf numFmtId="0" fontId="1" fillId="0" borderId="15" xfId="15" applyFont="1" applyBorder="1" applyAlignment="1">
      <alignment horizontal="center"/>
    </xf>
    <xf numFmtId="0" fontId="1" fillId="0" borderId="30" xfId="15" applyFont="1" applyBorder="1" applyAlignment="1">
      <alignment horizontal="center"/>
    </xf>
    <xf numFmtId="172" fontId="1" fillId="0" borderId="16" xfId="15" applyNumberFormat="1" applyFont="1" applyBorder="1" applyAlignment="1">
      <alignment horizontal="center"/>
    </xf>
    <xf numFmtId="0" fontId="1" fillId="0" borderId="43" xfId="15" applyFont="1" applyBorder="1" applyAlignment="1">
      <alignment horizontal="center"/>
    </xf>
    <xf numFmtId="172" fontId="1" fillId="0" borderId="3" xfId="15" applyNumberFormat="1" applyFont="1" applyBorder="1" applyAlignment="1">
      <alignment horizontal="center"/>
    </xf>
    <xf numFmtId="3" fontId="1" fillId="0" borderId="3" xfId="15" applyNumberFormat="1" applyFont="1" applyBorder="1" applyAlignment="1">
      <alignment horizontal="center"/>
    </xf>
    <xf numFmtId="0" fontId="1" fillId="0" borderId="204" xfId="15" applyFont="1" applyBorder="1" applyAlignment="1">
      <alignment horizontal="center"/>
    </xf>
    <xf numFmtId="173" fontId="1" fillId="0" borderId="16" xfId="15" applyNumberFormat="1" applyFont="1" applyBorder="1" applyAlignment="1">
      <alignment horizontal="center"/>
    </xf>
    <xf numFmtId="173" fontId="1" fillId="0" borderId="58" xfId="15" applyNumberFormat="1" applyFont="1" applyBorder="1" applyAlignment="1">
      <alignment horizontal="center"/>
    </xf>
    <xf numFmtId="172" fontId="1" fillId="0" borderId="58" xfId="15" quotePrefix="1" applyNumberFormat="1" applyFont="1" applyBorder="1" applyAlignment="1">
      <alignment horizontal="center"/>
    </xf>
    <xf numFmtId="173" fontId="1" fillId="0" borderId="0" xfId="15" applyNumberFormat="1" applyFont="1" applyAlignment="1">
      <alignment horizontal="center"/>
    </xf>
    <xf numFmtId="173" fontId="1" fillId="0" borderId="3" xfId="15" applyNumberFormat="1" applyFont="1" applyBorder="1" applyAlignment="1">
      <alignment horizontal="center"/>
    </xf>
    <xf numFmtId="174" fontId="1" fillId="0" borderId="125" xfId="15" applyNumberFormat="1" applyFont="1" applyBorder="1" applyAlignment="1">
      <alignment horizontal="center"/>
    </xf>
    <xf numFmtId="173" fontId="1" fillId="0" borderId="86" xfId="15" applyNumberFormat="1" applyFont="1" applyBorder="1" applyAlignment="1">
      <alignment horizontal="center"/>
    </xf>
    <xf numFmtId="0" fontId="1" fillId="0" borderId="133" xfId="15" applyFont="1" applyBorder="1" applyAlignment="1">
      <alignment horizontal="center"/>
    </xf>
    <xf numFmtId="0" fontId="1" fillId="0" borderId="205" xfId="15" applyFont="1" applyBorder="1" applyAlignment="1">
      <alignment horizontal="center"/>
    </xf>
    <xf numFmtId="3" fontId="9" fillId="0" borderId="0" xfId="3" applyNumberFormat="1" applyFont="1" applyBorder="1" applyAlignment="1">
      <alignment vertical="center"/>
    </xf>
    <xf numFmtId="3" fontId="9" fillId="0" borderId="0" xfId="3" applyNumberFormat="1" applyFont="1" applyBorder="1"/>
    <xf numFmtId="3" fontId="9" fillId="0" borderId="261" xfId="3" applyNumberFormat="1" applyFont="1" applyBorder="1"/>
    <xf numFmtId="3" fontId="9" fillId="0" borderId="262" xfId="3" applyNumberFormat="1" applyFont="1" applyBorder="1"/>
    <xf numFmtId="0" fontId="17" fillId="0" borderId="63" xfId="6" applyBorder="1"/>
    <xf numFmtId="9" fontId="19" fillId="0" borderId="63" xfId="7" applyNumberFormat="1" applyFont="1" applyBorder="1" applyAlignment="1"/>
    <xf numFmtId="0" fontId="72" fillId="0" borderId="0" xfId="0" applyFont="1"/>
    <xf numFmtId="0" fontId="52" fillId="0" borderId="0" xfId="0" applyFont="1"/>
    <xf numFmtId="0" fontId="52" fillId="0" borderId="18" xfId="0" applyFont="1" applyBorder="1"/>
    <xf numFmtId="0" fontId="52" fillId="0" borderId="45" xfId="0" applyFont="1" applyBorder="1"/>
    <xf numFmtId="0" fontId="52" fillId="0" borderId="14" xfId="0" applyFont="1" applyBorder="1"/>
    <xf numFmtId="0" fontId="52" fillId="0" borderId="0" xfId="0" applyFont="1" applyBorder="1"/>
    <xf numFmtId="0" fontId="52" fillId="0" borderId="58" xfId="0" applyFont="1" applyBorder="1"/>
    <xf numFmtId="0" fontId="52" fillId="0" borderId="27" xfId="0" applyFont="1" applyBorder="1"/>
    <xf numFmtId="0" fontId="52" fillId="0" borderId="54" xfId="0" applyFont="1" applyBorder="1"/>
    <xf numFmtId="0" fontId="68" fillId="0" borderId="0" xfId="0" applyFont="1" applyBorder="1"/>
    <xf numFmtId="10" fontId="0" fillId="0" borderId="0" xfId="0" applyNumberFormat="1"/>
    <xf numFmtId="3" fontId="0" fillId="0" borderId="0" xfId="0" applyNumberFormat="1" applyFill="1" applyBorder="1"/>
    <xf numFmtId="176" fontId="0" fillId="0" borderId="0" xfId="0" applyNumberFormat="1"/>
    <xf numFmtId="0" fontId="56" fillId="0" borderId="0" xfId="0" applyFont="1"/>
    <xf numFmtId="0" fontId="52" fillId="0" borderId="13" xfId="0" applyFont="1" applyBorder="1"/>
    <xf numFmtId="0" fontId="52" fillId="0" borderId="168" xfId="0" applyFont="1" applyBorder="1"/>
    <xf numFmtId="3" fontId="52" fillId="0" borderId="168" xfId="0" applyNumberFormat="1" applyFont="1" applyBorder="1"/>
    <xf numFmtId="9" fontId="52" fillId="0" borderId="168" xfId="14" applyFont="1" applyBorder="1"/>
    <xf numFmtId="0" fontId="52" fillId="0" borderId="216" xfId="0" applyFont="1" applyBorder="1"/>
    <xf numFmtId="3" fontId="52" fillId="0" borderId="216" xfId="0" applyNumberFormat="1" applyFont="1" applyBorder="1"/>
    <xf numFmtId="9" fontId="52" fillId="0" borderId="216" xfId="14" applyFont="1" applyBorder="1"/>
    <xf numFmtId="0" fontId="52" fillId="0" borderId="19" xfId="0" applyFont="1" applyBorder="1"/>
    <xf numFmtId="9" fontId="52" fillId="0" borderId="19" xfId="14" applyFont="1" applyBorder="1"/>
    <xf numFmtId="3" fontId="52" fillId="0" borderId="19" xfId="0" applyNumberFormat="1" applyFont="1" applyBorder="1"/>
    <xf numFmtId="177" fontId="0" fillId="0" borderId="0" xfId="0" applyNumberFormat="1"/>
    <xf numFmtId="177" fontId="52" fillId="0" borderId="0" xfId="0" applyNumberFormat="1" applyFont="1"/>
    <xf numFmtId="177" fontId="0" fillId="0" borderId="0" xfId="14" applyNumberFormat="1" applyFont="1" applyFill="1" applyBorder="1"/>
    <xf numFmtId="0" fontId="51" fillId="0" borderId="20" xfId="0" applyFont="1" applyBorder="1"/>
    <xf numFmtId="0" fontId="51" fillId="0" borderId="14" xfId="0" applyFont="1" applyBorder="1"/>
    <xf numFmtId="0" fontId="52" fillId="0" borderId="29" xfId="0" applyFont="1" applyBorder="1"/>
    <xf numFmtId="0" fontId="71" fillId="0" borderId="0" xfId="3" applyFont="1"/>
    <xf numFmtId="0" fontId="73" fillId="0" borderId="0" xfId="3" applyFont="1" applyBorder="1"/>
    <xf numFmtId="0" fontId="71" fillId="0" borderId="0" xfId="3" applyFont="1" applyBorder="1" applyAlignment="1">
      <alignment horizontal="center"/>
    </xf>
    <xf numFmtId="0" fontId="71" fillId="0" borderId="0" xfId="3" applyFont="1" applyBorder="1"/>
    <xf numFmtId="0" fontId="74" fillId="8" borderId="0" xfId="20" applyFont="1" applyFill="1" applyAlignment="1">
      <alignment horizontal="center"/>
    </xf>
    <xf numFmtId="38" fontId="9" fillId="0" borderId="64" xfId="4" applyFont="1" applyFill="1" applyBorder="1"/>
    <xf numFmtId="0" fontId="9" fillId="0" borderId="266" xfId="3" applyFont="1" applyBorder="1"/>
    <xf numFmtId="38" fontId="9" fillId="0" borderId="33" xfId="3" applyNumberFormat="1" applyFont="1" applyBorder="1"/>
    <xf numFmtId="38" fontId="9" fillId="0" borderId="37" xfId="3" applyNumberFormat="1" applyFont="1" applyBorder="1"/>
    <xf numFmtId="38" fontId="9" fillId="0" borderId="40" xfId="3" applyNumberFormat="1" applyFont="1" applyBorder="1"/>
    <xf numFmtId="3" fontId="71" fillId="0" borderId="19" xfId="13" applyNumberFormat="1" applyFont="1" applyBorder="1">
      <alignment vertical="center"/>
    </xf>
    <xf numFmtId="3" fontId="71" fillId="0" borderId="24" xfId="13" applyNumberFormat="1" applyFont="1" applyBorder="1">
      <alignment vertical="center"/>
    </xf>
    <xf numFmtId="3" fontId="71" fillId="0" borderId="28" xfId="3" applyNumberFormat="1" applyFont="1" applyBorder="1"/>
    <xf numFmtId="9" fontId="71" fillId="0" borderId="19" xfId="3" applyNumberFormat="1" applyFont="1" applyBorder="1"/>
    <xf numFmtId="9" fontId="71" fillId="0" borderId="24" xfId="3" applyNumberFormat="1" applyFont="1" applyBorder="1"/>
    <xf numFmtId="9" fontId="71" fillId="0" borderId="28" xfId="3" applyNumberFormat="1" applyFont="1" applyBorder="1"/>
    <xf numFmtId="9" fontId="0" fillId="0" borderId="0" xfId="0" applyNumberFormat="1"/>
    <xf numFmtId="173" fontId="0" fillId="0" borderId="45" xfId="21" applyNumberFormat="1" applyFont="1" applyBorder="1"/>
    <xf numFmtId="173" fontId="0" fillId="0" borderId="58" xfId="21" applyNumberFormat="1" applyFont="1" applyBorder="1"/>
    <xf numFmtId="173" fontId="0" fillId="0" borderId="54" xfId="21" applyNumberFormat="1" applyFont="1" applyBorder="1"/>
    <xf numFmtId="0" fontId="51" fillId="0" borderId="0" xfId="0" applyFont="1"/>
    <xf numFmtId="0" fontId="64" fillId="0" borderId="20" xfId="0" applyFont="1" applyBorder="1"/>
    <xf numFmtId="0" fontId="64" fillId="0" borderId="18" xfId="0" applyFont="1" applyBorder="1"/>
    <xf numFmtId="0" fontId="64" fillId="0" borderId="14" xfId="0" applyFont="1" applyBorder="1"/>
    <xf numFmtId="0" fontId="64" fillId="0" borderId="0" xfId="0" applyFont="1"/>
    <xf numFmtId="0" fontId="64" fillId="0" borderId="0" xfId="0" applyFont="1" applyFill="1"/>
    <xf numFmtId="0" fontId="64" fillId="0" borderId="58" xfId="0" applyFont="1" applyBorder="1"/>
    <xf numFmtId="0" fontId="56" fillId="0" borderId="54" xfId="0" applyFont="1" applyBorder="1"/>
    <xf numFmtId="0" fontId="52" fillId="0" borderId="20" xfId="0" applyFont="1" applyBorder="1"/>
    <xf numFmtId="0" fontId="52" fillId="0" borderId="19" xfId="0" applyFont="1" applyBorder="1" applyAlignment="1">
      <alignment horizontal="center"/>
    </xf>
    <xf numFmtId="173" fontId="52" fillId="0" borderId="18" xfId="14" applyNumberFormat="1" applyFont="1" applyBorder="1"/>
    <xf numFmtId="173" fontId="52" fillId="0" borderId="45" xfId="0" applyNumberFormat="1" applyFont="1" applyBorder="1"/>
    <xf numFmtId="9" fontId="52" fillId="0" borderId="18" xfId="0" applyNumberFormat="1" applyFont="1" applyBorder="1"/>
    <xf numFmtId="0" fontId="52" fillId="0" borderId="13" xfId="0" applyFont="1" applyBorder="1" applyAlignment="1">
      <alignment horizontal="center"/>
    </xf>
    <xf numFmtId="173" fontId="52" fillId="0" borderId="0" xfId="14" applyNumberFormat="1" applyFont="1" applyBorder="1"/>
    <xf numFmtId="173" fontId="52" fillId="0" borderId="58" xfId="0" applyNumberFormat="1" applyFont="1" applyBorder="1"/>
    <xf numFmtId="9" fontId="52" fillId="0" borderId="0" xfId="0" applyNumberFormat="1" applyFont="1" applyBorder="1"/>
    <xf numFmtId="9" fontId="52" fillId="0" borderId="20" xfId="0" applyNumberFormat="1" applyFont="1" applyBorder="1"/>
    <xf numFmtId="173" fontId="52" fillId="0" borderId="45" xfId="14" applyNumberFormat="1" applyFont="1" applyBorder="1"/>
    <xf numFmtId="173" fontId="52" fillId="0" borderId="58" xfId="14" applyNumberFormat="1" applyFont="1" applyBorder="1"/>
    <xf numFmtId="0" fontId="52" fillId="0" borderId="28" xfId="0" applyFont="1" applyBorder="1" applyAlignment="1">
      <alignment horizontal="center"/>
    </xf>
    <xf numFmtId="173" fontId="52" fillId="0" borderId="27" xfId="14" applyNumberFormat="1" applyFont="1" applyBorder="1"/>
    <xf numFmtId="173" fontId="52" fillId="0" borderId="54" xfId="0" applyNumberFormat="1" applyFont="1" applyBorder="1"/>
    <xf numFmtId="173" fontId="52" fillId="0" borderId="54" xfId="14" applyNumberFormat="1" applyFont="1" applyBorder="1"/>
    <xf numFmtId="173" fontId="52" fillId="0" borderId="0" xfId="0" applyNumberFormat="1" applyFont="1"/>
    <xf numFmtId="0" fontId="51" fillId="0" borderId="58" xfId="0" applyFont="1" applyBorder="1"/>
    <xf numFmtId="0" fontId="56" fillId="0" borderId="0" xfId="0" applyFont="1" applyFill="1" applyBorder="1"/>
    <xf numFmtId="0" fontId="64" fillId="0" borderId="0" xfId="0" applyFont="1" applyBorder="1"/>
    <xf numFmtId="0" fontId="64" fillId="0" borderId="0" xfId="0" applyFont="1" applyFill="1" applyBorder="1"/>
    <xf numFmtId="0" fontId="64" fillId="9" borderId="0" xfId="0" applyFont="1" applyFill="1" applyBorder="1"/>
    <xf numFmtId="3" fontId="0" fillId="0" borderId="13" xfId="0" applyNumberFormat="1" applyFill="1" applyBorder="1"/>
    <xf numFmtId="3" fontId="52" fillId="0" borderId="13" xfId="0" applyNumberFormat="1" applyFont="1" applyBorder="1"/>
    <xf numFmtId="3" fontId="52" fillId="0" borderId="28" xfId="0" applyNumberFormat="1" applyFont="1" applyBorder="1"/>
    <xf numFmtId="3" fontId="52" fillId="0" borderId="63" xfId="0" applyNumberFormat="1" applyFont="1" applyBorder="1"/>
    <xf numFmtId="3" fontId="52" fillId="0" borderId="45" xfId="0" applyNumberFormat="1" applyFont="1" applyBorder="1"/>
    <xf numFmtId="3" fontId="52" fillId="0" borderId="54" xfId="0" applyNumberFormat="1" applyFont="1" applyBorder="1"/>
    <xf numFmtId="3" fontId="52" fillId="0" borderId="45" xfId="0" applyNumberFormat="1" applyFont="1" applyFill="1" applyBorder="1"/>
    <xf numFmtId="3" fontId="52" fillId="0" borderId="19" xfId="0" applyNumberFormat="1" applyFont="1" applyFill="1" applyBorder="1"/>
    <xf numFmtId="3" fontId="52" fillId="0" borderId="13" xfId="0" applyNumberFormat="1" applyFont="1" applyFill="1" applyBorder="1"/>
    <xf numFmtId="3" fontId="52" fillId="0" borderId="54" xfId="0" applyNumberFormat="1" applyFont="1" applyFill="1" applyBorder="1"/>
    <xf numFmtId="3" fontId="52" fillId="0" borderId="28" xfId="0" applyNumberFormat="1" applyFont="1" applyFill="1" applyBorder="1"/>
    <xf numFmtId="3" fontId="52" fillId="0" borderId="58" xfId="0" applyNumberFormat="1" applyFont="1" applyFill="1" applyBorder="1"/>
    <xf numFmtId="3" fontId="45" fillId="0" borderId="0" xfId="0" applyNumberFormat="1" applyFont="1" applyFill="1" applyBorder="1" applyAlignment="1">
      <alignment horizontal="left"/>
    </xf>
    <xf numFmtId="3" fontId="0" fillId="0" borderId="0" xfId="0" applyNumberFormat="1" applyFont="1" applyBorder="1"/>
    <xf numFmtId="3" fontId="0" fillId="0" borderId="18" xfId="0" applyNumberFormat="1" applyFont="1" applyBorder="1"/>
    <xf numFmtId="3" fontId="0" fillId="0" borderId="188" xfId="0" applyNumberFormat="1" applyFont="1" applyBorder="1"/>
    <xf numFmtId="3" fontId="0" fillId="0" borderId="27" xfId="0" applyNumberFormat="1" applyFont="1" applyBorder="1"/>
    <xf numFmtId="3" fontId="0" fillId="0" borderId="187" xfId="0" applyNumberFormat="1" applyFont="1" applyBorder="1"/>
    <xf numFmtId="3" fontId="0" fillId="0" borderId="155" xfId="0" applyNumberFormat="1" applyFont="1" applyBorder="1"/>
    <xf numFmtId="3" fontId="52" fillId="0" borderId="28" xfId="0" applyNumberFormat="1" applyFont="1" applyFill="1" applyBorder="1" applyAlignment="1">
      <alignment horizontal="right"/>
    </xf>
    <xf numFmtId="3" fontId="52" fillId="0" borderId="63" xfId="0" applyNumberFormat="1" applyFont="1" applyFill="1" applyBorder="1" applyAlignment="1">
      <alignment horizontal="right"/>
    </xf>
    <xf numFmtId="3" fontId="52" fillId="0" borderId="63" xfId="0" applyNumberFormat="1" applyFont="1" applyFill="1" applyBorder="1"/>
    <xf numFmtId="0" fontId="52" fillId="0" borderId="63" xfId="0" applyFont="1" applyBorder="1"/>
    <xf numFmtId="0" fontId="52" fillId="0" borderId="0" xfId="0" applyFont="1" applyFill="1"/>
    <xf numFmtId="3" fontId="0" fillId="0" borderId="267" xfId="0" applyNumberFormat="1" applyBorder="1"/>
    <xf numFmtId="3" fontId="52" fillId="0" borderId="18" xfId="0" applyNumberFormat="1" applyFont="1" applyFill="1" applyBorder="1"/>
    <xf numFmtId="3" fontId="52" fillId="0" borderId="188" xfId="0" applyNumberFormat="1" applyFont="1" applyFill="1" applyBorder="1"/>
    <xf numFmtId="3" fontId="52" fillId="0" borderId="27" xfId="0" applyNumberFormat="1" applyFont="1" applyFill="1" applyBorder="1"/>
    <xf numFmtId="3" fontId="52" fillId="0" borderId="0" xfId="0" applyNumberFormat="1" applyFont="1" applyFill="1" applyBorder="1"/>
    <xf numFmtId="3" fontId="0" fillId="0" borderId="0" xfId="0" applyNumberFormat="1" applyFont="1" applyFill="1" applyBorder="1"/>
    <xf numFmtId="3" fontId="0" fillId="0" borderId="155" xfId="0" applyNumberFormat="1" applyFill="1" applyBorder="1"/>
    <xf numFmtId="3" fontId="52" fillId="0" borderId="156" xfId="0" applyNumberFormat="1" applyFont="1" applyBorder="1"/>
    <xf numFmtId="0" fontId="52" fillId="0" borderId="153" xfId="0" applyFont="1" applyBorder="1"/>
    <xf numFmtId="0" fontId="52" fillId="0" borderId="154" xfId="0" applyFont="1" applyBorder="1"/>
    <xf numFmtId="3" fontId="52" fillId="0" borderId="151" xfId="0" applyNumberFormat="1" applyFont="1" applyBorder="1"/>
    <xf numFmtId="9" fontId="52" fillId="0" borderId="152" xfId="0" applyNumberFormat="1" applyFont="1" applyBorder="1"/>
    <xf numFmtId="3" fontId="52" fillId="0" borderId="153" xfId="0" applyNumberFormat="1" applyFont="1" applyBorder="1"/>
    <xf numFmtId="9" fontId="52" fillId="0" borderId="154" xfId="0" applyNumberFormat="1" applyFont="1" applyBorder="1"/>
    <xf numFmtId="0" fontId="52" fillId="0" borderId="63" xfId="0" applyFont="1" applyFill="1" applyBorder="1"/>
    <xf numFmtId="0" fontId="52" fillId="0" borderId="19" xfId="0" applyFont="1" applyFill="1" applyBorder="1"/>
    <xf numFmtId="0" fontId="52" fillId="0" borderId="13" xfId="0" applyFont="1" applyFill="1" applyBorder="1"/>
    <xf numFmtId="0" fontId="52" fillId="0" borderId="28" xfId="0" applyFont="1" applyFill="1" applyBorder="1"/>
    <xf numFmtId="9" fontId="52" fillId="0" borderId="13" xfId="0" applyNumberFormat="1" applyFont="1" applyBorder="1"/>
    <xf numFmtId="9" fontId="52" fillId="0" borderId="28" xfId="0" applyNumberFormat="1" applyFont="1" applyBorder="1"/>
    <xf numFmtId="0" fontId="52" fillId="0" borderId="14" xfId="0" applyFont="1" applyBorder="1" applyAlignment="1"/>
    <xf numFmtId="0" fontId="52" fillId="0" borderId="33" xfId="0" applyFont="1" applyBorder="1" applyAlignment="1">
      <alignment horizontal="left"/>
    </xf>
    <xf numFmtId="3" fontId="52" fillId="0" borderId="31" xfId="0" applyNumberFormat="1" applyFont="1" applyBorder="1"/>
    <xf numFmtId="9" fontId="52" fillId="0" borderId="48" xfId="0" applyNumberFormat="1" applyFont="1" applyBorder="1"/>
    <xf numFmtId="0" fontId="52" fillId="0" borderId="25" xfId="0" applyFont="1" applyBorder="1" applyAlignment="1">
      <alignment horizontal="left"/>
    </xf>
    <xf numFmtId="0" fontId="52" fillId="0" borderId="23" xfId="0" applyFont="1" applyBorder="1"/>
    <xf numFmtId="9" fontId="52" fillId="0" borderId="50" xfId="0" applyNumberFormat="1" applyFont="1" applyBorder="1"/>
    <xf numFmtId="0" fontId="52" fillId="0" borderId="29" xfId="0" applyFont="1" applyBorder="1" applyAlignment="1">
      <alignment horizontal="left"/>
    </xf>
    <xf numFmtId="9" fontId="52" fillId="0" borderId="54" xfId="0" applyNumberFormat="1" applyFont="1" applyBorder="1"/>
    <xf numFmtId="4" fontId="52" fillId="0" borderId="13" xfId="0" applyNumberFormat="1" applyFont="1" applyFill="1" applyBorder="1"/>
    <xf numFmtId="4" fontId="52" fillId="0" borderId="28" xfId="0" applyNumberFormat="1" applyFont="1" applyBorder="1"/>
    <xf numFmtId="4" fontId="52" fillId="0" borderId="19" xfId="0" applyNumberFormat="1" applyFont="1" applyBorder="1"/>
    <xf numFmtId="4" fontId="52" fillId="0" borderId="13" xfId="0" applyNumberFormat="1" applyFont="1" applyBorder="1"/>
    <xf numFmtId="4" fontId="52" fillId="0" borderId="19" xfId="0" applyNumberFormat="1" applyFont="1" applyFill="1" applyBorder="1"/>
    <xf numFmtId="0" fontId="52" fillId="0" borderId="28" xfId="0" applyFont="1" applyBorder="1"/>
    <xf numFmtId="3" fontId="52" fillId="0" borderId="0" xfId="0" applyNumberFormat="1" applyFont="1"/>
    <xf numFmtId="3" fontId="52" fillId="0" borderId="65" xfId="0" applyNumberFormat="1" applyFont="1" applyBorder="1"/>
    <xf numFmtId="3" fontId="52" fillId="0" borderId="67" xfId="0" applyNumberFormat="1" applyFont="1" applyBorder="1"/>
    <xf numFmtId="3" fontId="52" fillId="0" borderId="69" xfId="0" applyNumberFormat="1" applyFont="1" applyBorder="1"/>
    <xf numFmtId="167" fontId="52" fillId="0" borderId="0" xfId="0" applyNumberFormat="1" applyFont="1" applyBorder="1"/>
    <xf numFmtId="3" fontId="0" fillId="0" borderId="58" xfId="0" applyNumberFormat="1" applyFont="1" applyBorder="1"/>
    <xf numFmtId="9" fontId="52" fillId="0" borderId="19" xfId="0" applyNumberFormat="1" applyFont="1" applyBorder="1"/>
    <xf numFmtId="3" fontId="52" fillId="0" borderId="218" xfId="0" applyNumberFormat="1" applyFont="1" applyBorder="1"/>
    <xf numFmtId="9" fontId="52" fillId="0" borderId="28" xfId="14" applyFont="1" applyBorder="1"/>
    <xf numFmtId="0" fontId="9" fillId="0" borderId="62" xfId="3" applyFont="1" applyBorder="1" applyAlignment="1">
      <alignment horizontal="center"/>
    </xf>
    <xf numFmtId="3" fontId="9" fillId="0" borderId="15" xfId="3" applyNumberFormat="1" applyFont="1" applyBorder="1"/>
    <xf numFmtId="3" fontId="9" fillId="0" borderId="265" xfId="3" applyNumberFormat="1" applyFont="1" applyBorder="1"/>
    <xf numFmtId="3" fontId="9" fillId="0" borderId="264" xfId="3" applyNumberFormat="1" applyFont="1" applyBorder="1"/>
    <xf numFmtId="3" fontId="9" fillId="0" borderId="0" xfId="3" applyNumberFormat="1" applyFont="1" applyAlignment="1">
      <alignment horizontal="center"/>
    </xf>
    <xf numFmtId="3" fontId="9" fillId="0" borderId="30" xfId="3" applyNumberFormat="1" applyFont="1" applyBorder="1"/>
    <xf numFmtId="3" fontId="9" fillId="0" borderId="123" xfId="3" applyNumberFormat="1" applyFont="1" applyBorder="1"/>
    <xf numFmtId="9" fontId="52" fillId="0" borderId="14" xfId="0" applyNumberFormat="1" applyFont="1" applyBorder="1"/>
    <xf numFmtId="9" fontId="52" fillId="0" borderId="14" xfId="0" applyNumberFormat="1" applyFont="1" applyFill="1" applyBorder="1"/>
    <xf numFmtId="0" fontId="52" fillId="0" borderId="14" xfId="0" applyFont="1" applyFill="1" applyBorder="1"/>
    <xf numFmtId="9" fontId="9" fillId="0" borderId="32" xfId="1" applyNumberFormat="1" applyFont="1" applyBorder="1"/>
    <xf numFmtId="9" fontId="9" fillId="0" borderId="24" xfId="1" applyNumberFormat="1" applyFont="1" applyBorder="1"/>
    <xf numFmtId="9" fontId="9" fillId="0" borderId="28" xfId="10" applyFont="1" applyFill="1" applyBorder="1"/>
    <xf numFmtId="9" fontId="9" fillId="0" borderId="32" xfId="0" applyNumberFormat="1" applyFont="1" applyFill="1" applyBorder="1"/>
    <xf numFmtId="9" fontId="9" fillId="0" borderId="24" xfId="0" applyNumberFormat="1" applyFont="1" applyFill="1" applyBorder="1"/>
    <xf numFmtId="9" fontId="9" fillId="0" borderId="28" xfId="10" applyNumberFormat="1" applyFont="1" applyFill="1" applyBorder="1"/>
    <xf numFmtId="167" fontId="13" fillId="0" borderId="3" xfId="3" applyNumberFormat="1" applyFont="1" applyBorder="1"/>
    <xf numFmtId="0" fontId="13" fillId="0" borderId="3" xfId="3" applyFont="1" applyBorder="1" applyAlignment="1">
      <alignment horizontal="right"/>
    </xf>
    <xf numFmtId="167" fontId="13" fillId="0" borderId="43" xfId="4" applyNumberFormat="1" applyFont="1" applyFill="1" applyBorder="1" applyAlignment="1">
      <alignment horizontal="right"/>
    </xf>
    <xf numFmtId="0" fontId="13" fillId="0" borderId="4" xfId="3" applyFont="1" applyBorder="1" applyAlignment="1">
      <alignment horizontal="right"/>
    </xf>
    <xf numFmtId="167" fontId="13" fillId="0" borderId="26" xfId="3" applyNumberFormat="1" applyFont="1" applyBorder="1"/>
    <xf numFmtId="0" fontId="13" fillId="0" borderId="26" xfId="3" applyFont="1" applyBorder="1" applyAlignment="1">
      <alignment horizontal="right"/>
    </xf>
    <xf numFmtId="0" fontId="75" fillId="0" borderId="0" xfId="6" applyFont="1"/>
    <xf numFmtId="9" fontId="75" fillId="0" borderId="63" xfId="6" applyNumberFormat="1" applyFont="1" applyBorder="1"/>
    <xf numFmtId="9" fontId="75" fillId="0" borderId="0" xfId="6" applyNumberFormat="1" applyFont="1"/>
    <xf numFmtId="0" fontId="13" fillId="0" borderId="0" xfId="6" applyFont="1"/>
    <xf numFmtId="3" fontId="9" fillId="0" borderId="263" xfId="3" applyNumberFormat="1" applyFont="1" applyBorder="1" applyAlignment="1">
      <alignment horizontal="right" vertical="center"/>
    </xf>
    <xf numFmtId="3" fontId="9" fillId="0" borderId="77" xfId="3" applyNumberFormat="1" applyFont="1" applyBorder="1"/>
    <xf numFmtId="3" fontId="9" fillId="0" borderId="82" xfId="3" applyNumberFormat="1" applyFont="1" applyBorder="1"/>
    <xf numFmtId="3" fontId="9" fillId="0" borderId="108" xfId="3" applyNumberFormat="1" applyFont="1" applyBorder="1"/>
    <xf numFmtId="3" fontId="52" fillId="0" borderId="13" xfId="0" applyNumberFormat="1" applyFont="1" applyFill="1" applyBorder="1" applyAlignment="1">
      <alignment horizontal="right"/>
    </xf>
    <xf numFmtId="3" fontId="52" fillId="0" borderId="19" xfId="0" applyNumberFormat="1" applyFont="1" applyFill="1" applyBorder="1" applyAlignment="1">
      <alignment horizontal="right"/>
    </xf>
    <xf numFmtId="3" fontId="44" fillId="0" borderId="13" xfId="0" applyNumberFormat="1" applyFont="1" applyFill="1" applyBorder="1"/>
    <xf numFmtId="3" fontId="52" fillId="0" borderId="156" xfId="0" applyNumberFormat="1" applyFont="1" applyFill="1" applyBorder="1"/>
    <xf numFmtId="3" fontId="44" fillId="0" borderId="13" xfId="0" applyNumberFormat="1" applyFont="1" applyBorder="1"/>
    <xf numFmtId="3" fontId="0" fillId="0" borderId="14" xfId="0" applyNumberFormat="1" applyBorder="1"/>
    <xf numFmtId="3" fontId="52" fillId="0" borderId="14" xfId="0" applyNumberFormat="1" applyFont="1" applyBorder="1"/>
    <xf numFmtId="0" fontId="76" fillId="3" borderId="0" xfId="1" applyFont="1" applyFill="1"/>
    <xf numFmtId="0" fontId="0" fillId="0" borderId="0" xfId="0"/>
    <xf numFmtId="0" fontId="0" fillId="0" borderId="14" xfId="0" applyBorder="1"/>
    <xf numFmtId="0" fontId="0" fillId="0" borderId="29" xfId="0" applyBorder="1"/>
    <xf numFmtId="0" fontId="0" fillId="0" borderId="20" xfId="0" applyBorder="1" applyAlignment="1">
      <alignment horizontal="center"/>
    </xf>
    <xf numFmtId="0" fontId="0" fillId="0" borderId="58" xfId="0" applyBorder="1" applyAlignment="1">
      <alignment horizontal="right"/>
    </xf>
    <xf numFmtId="9" fontId="0" fillId="0" borderId="54" xfId="0" applyNumberFormat="1" applyBorder="1"/>
    <xf numFmtId="0" fontId="0" fillId="0" borderId="33" xfId="0" applyBorder="1"/>
    <xf numFmtId="9" fontId="0" fillId="0" borderId="48" xfId="0" applyNumberFormat="1" applyBorder="1"/>
    <xf numFmtId="0" fontId="0" fillId="0" borderId="25" xfId="0" applyBorder="1"/>
    <xf numFmtId="9" fontId="0" fillId="0" borderId="50" xfId="0" applyNumberFormat="1" applyBorder="1"/>
    <xf numFmtId="0" fontId="0" fillId="0" borderId="225" xfId="0" applyBorder="1" applyAlignment="1">
      <alignment horizontal="right"/>
    </xf>
    <xf numFmtId="0" fontId="0" fillId="0" borderId="226" xfId="0" applyBorder="1" applyAlignment="1">
      <alignment horizontal="right"/>
    </xf>
    <xf numFmtId="9" fontId="0" fillId="0" borderId="227" xfId="0" applyNumberFormat="1" applyBorder="1"/>
    <xf numFmtId="9" fontId="0" fillId="0" borderId="228" xfId="0" applyNumberFormat="1" applyBorder="1"/>
    <xf numFmtId="9" fontId="0" fillId="0" borderId="229" xfId="0" applyNumberFormat="1" applyBorder="1"/>
    <xf numFmtId="9" fontId="0" fillId="0" borderId="230" xfId="0" applyNumberFormat="1" applyBorder="1"/>
    <xf numFmtId="9" fontId="0" fillId="0" borderId="224" xfId="0" applyNumberFormat="1" applyBorder="1"/>
    <xf numFmtId="9" fontId="0" fillId="0" borderId="231" xfId="0" applyNumberFormat="1" applyBorder="1"/>
    <xf numFmtId="0" fontId="0" fillId="0" borderId="0" xfId="0" applyFill="1"/>
    <xf numFmtId="0" fontId="0" fillId="0" borderId="18" xfId="0" applyFill="1" applyBorder="1"/>
    <xf numFmtId="3" fontId="0" fillId="0" borderId="18" xfId="0" applyNumberFormat="1" applyFill="1" applyBorder="1"/>
    <xf numFmtId="3" fontId="0" fillId="0" borderId="187" xfId="0" applyNumberFormat="1" applyFill="1" applyBorder="1"/>
    <xf numFmtId="3" fontId="0" fillId="0" borderId="188" xfId="0" applyNumberFormat="1" applyFill="1" applyBorder="1"/>
    <xf numFmtId="3" fontId="0" fillId="0" borderId="27" xfId="0" applyNumberFormat="1" applyFill="1" applyBorder="1"/>
    <xf numFmtId="3" fontId="0" fillId="0" borderId="191" xfId="0" applyNumberFormat="1" applyFill="1" applyBorder="1"/>
    <xf numFmtId="3" fontId="0" fillId="0" borderId="194" xfId="0" applyNumberFormat="1" applyFill="1" applyBorder="1"/>
    <xf numFmtId="3" fontId="0" fillId="0" borderId="197" xfId="0" applyNumberFormat="1" applyFill="1" applyBorder="1"/>
    <xf numFmtId="3" fontId="0" fillId="0" borderId="28" xfId="0" applyNumberFormat="1" applyFill="1" applyBorder="1"/>
    <xf numFmtId="0" fontId="0" fillId="0" borderId="63" xfId="0" applyFill="1" applyBorder="1"/>
    <xf numFmtId="3" fontId="0" fillId="0" borderId="19" xfId="0" applyNumberFormat="1" applyFill="1" applyBorder="1"/>
    <xf numFmtId="3" fontId="0" fillId="0" borderId="67" xfId="0" applyNumberFormat="1" applyFill="1" applyBorder="1"/>
    <xf numFmtId="3" fontId="0" fillId="0" borderId="63" xfId="0" applyNumberFormat="1" applyFill="1" applyBorder="1"/>
    <xf numFmtId="3" fontId="0" fillId="0" borderId="0" xfId="0" applyNumberFormat="1" applyFill="1"/>
    <xf numFmtId="0" fontId="0" fillId="0" borderId="18" xfId="0" applyBorder="1" applyAlignment="1">
      <alignment horizontal="center"/>
    </xf>
    <xf numFmtId="0" fontId="0" fillId="0" borderId="45" xfId="0" applyBorder="1" applyAlignment="1">
      <alignment horizontal="center"/>
    </xf>
    <xf numFmtId="0" fontId="0" fillId="0" borderId="149" xfId="0" applyBorder="1" applyAlignment="1">
      <alignment horizontal="center"/>
    </xf>
    <xf numFmtId="0" fontId="0" fillId="0" borderId="150" xfId="0" applyBorder="1" applyAlignment="1">
      <alignment horizontal="center"/>
    </xf>
    <xf numFmtId="0" fontId="52" fillId="0" borderId="149" xfId="0" applyFont="1" applyBorder="1" applyAlignment="1">
      <alignment horizontal="center"/>
    </xf>
    <xf numFmtId="0" fontId="52" fillId="0" borderId="150" xfId="0" applyFont="1" applyBorder="1" applyAlignment="1">
      <alignment horizontal="center"/>
    </xf>
    <xf numFmtId="0" fontId="0" fillId="0" borderId="20" xfId="0" applyBorder="1" applyAlignment="1">
      <alignment horizontal="center"/>
    </xf>
    <xf numFmtId="0" fontId="52" fillId="0" borderId="20" xfId="0" applyFont="1" applyBorder="1" applyAlignment="1">
      <alignment horizontal="center"/>
    </xf>
    <xf numFmtId="0" fontId="52" fillId="0" borderId="18" xfId="0" applyFont="1" applyBorder="1" applyAlignment="1">
      <alignment horizontal="center"/>
    </xf>
    <xf numFmtId="0" fontId="52" fillId="0" borderId="45" xfId="0" applyFont="1" applyBorder="1" applyAlignment="1">
      <alignment horizontal="center"/>
    </xf>
    <xf numFmtId="0" fontId="0" fillId="10" borderId="13" xfId="0" applyFill="1" applyBorder="1" applyAlignment="1">
      <alignment horizontal="center" vertical="center"/>
    </xf>
    <xf numFmtId="0" fontId="0" fillId="10" borderId="39" xfId="0" applyFill="1" applyBorder="1" applyAlignment="1">
      <alignment horizontal="center" vertical="center"/>
    </xf>
    <xf numFmtId="0" fontId="0" fillId="10" borderId="14" xfId="0" applyFill="1" applyBorder="1" applyAlignment="1">
      <alignment horizontal="center" wrapText="1"/>
    </xf>
    <xf numFmtId="0" fontId="0" fillId="10" borderId="40" xfId="0" applyFill="1" applyBorder="1" applyAlignment="1">
      <alignment horizontal="center" wrapText="1"/>
    </xf>
    <xf numFmtId="0" fontId="0" fillId="10" borderId="237" xfId="0" applyFill="1" applyBorder="1" applyAlignment="1">
      <alignment horizontal="center" wrapText="1"/>
    </xf>
    <xf numFmtId="0" fontId="0" fillId="10" borderId="113" xfId="0" applyFill="1" applyBorder="1" applyAlignment="1">
      <alignment horizontal="center" wrapText="1"/>
    </xf>
    <xf numFmtId="0" fontId="0" fillId="10" borderId="119" xfId="0" applyFill="1" applyBorder="1" applyAlignment="1">
      <alignment horizontal="center" wrapText="1"/>
    </xf>
    <xf numFmtId="0" fontId="0" fillId="0" borderId="112" xfId="0" applyBorder="1" applyAlignment="1">
      <alignment horizontal="center" wrapText="1"/>
    </xf>
    <xf numFmtId="0" fontId="0" fillId="0" borderId="107" xfId="0" applyBorder="1" applyAlignment="1">
      <alignment horizontal="center" wrapText="1"/>
    </xf>
    <xf numFmtId="0" fontId="0" fillId="10" borderId="58" xfId="0" applyFill="1" applyBorder="1" applyAlignment="1">
      <alignment horizontal="center" wrapText="1"/>
    </xf>
    <xf numFmtId="0" fontId="0" fillId="10" borderId="60" xfId="0" applyFill="1" applyBorder="1" applyAlignment="1">
      <alignment horizontal="center" wrapText="1"/>
    </xf>
    <xf numFmtId="0" fontId="0" fillId="10" borderId="13" xfId="0" applyFill="1" applyBorder="1" applyAlignment="1">
      <alignment horizontal="center" wrapText="1"/>
    </xf>
    <xf numFmtId="0" fontId="0" fillId="10" borderId="39" xfId="0" applyFill="1" applyBorder="1" applyAlignment="1">
      <alignment horizontal="center" wrapText="1"/>
    </xf>
    <xf numFmtId="0" fontId="0" fillId="10" borderId="23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59" xfId="0" applyFill="1" applyBorder="1" applyAlignment="1">
      <alignment horizontal="center" vertical="center" wrapText="1"/>
    </xf>
    <xf numFmtId="0" fontId="0" fillId="10" borderId="221"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39" xfId="0" applyFill="1" applyBorder="1" applyAlignment="1">
      <alignment horizontal="center" vertical="center" wrapText="1"/>
    </xf>
    <xf numFmtId="0" fontId="69" fillId="10" borderId="202" xfId="0" applyFont="1" applyFill="1" applyBorder="1" applyAlignment="1">
      <alignment horizontal="center"/>
    </xf>
    <xf numFmtId="0" fontId="0" fillId="10" borderId="222" xfId="0" applyFill="1" applyBorder="1" applyAlignment="1">
      <alignment horizontal="center" vertical="center" wrapText="1"/>
    </xf>
    <xf numFmtId="0" fontId="0" fillId="10" borderId="103" xfId="0" applyFill="1" applyBorder="1" applyAlignment="1">
      <alignment horizontal="center" vertical="center" wrapText="1"/>
    </xf>
    <xf numFmtId="0" fontId="0" fillId="10" borderId="119" xfId="0" applyFill="1" applyBorder="1" applyAlignment="1">
      <alignment horizontal="center" vertical="center" wrapText="1"/>
    </xf>
    <xf numFmtId="0" fontId="0" fillId="10" borderId="15" xfId="0" applyFill="1" applyBorder="1" applyAlignment="1">
      <alignment horizontal="center" vertical="center" wrapText="1"/>
    </xf>
    <xf numFmtId="0" fontId="0" fillId="10" borderId="123" xfId="0" applyFill="1" applyBorder="1" applyAlignment="1">
      <alignment horizontal="center" vertical="center" wrapText="1"/>
    </xf>
    <xf numFmtId="0" fontId="0" fillId="10" borderId="234" xfId="0" applyFill="1" applyBorder="1" applyAlignment="1">
      <alignment horizontal="center"/>
    </xf>
    <xf numFmtId="0" fontId="0" fillId="10" borderId="235" xfId="0" applyFill="1" applyBorder="1" applyAlignment="1">
      <alignment horizontal="center"/>
    </xf>
    <xf numFmtId="0" fontId="0" fillId="10" borderId="201" xfId="0" applyFill="1" applyBorder="1" applyAlignment="1">
      <alignment horizontal="center" vertical="center" wrapText="1"/>
    </xf>
    <xf numFmtId="0" fontId="52" fillId="0" borderId="156" xfId="0" applyFont="1" applyBorder="1" applyAlignment="1">
      <alignment horizontal="center"/>
    </xf>
    <xf numFmtId="0" fontId="52" fillId="0" borderId="63" xfId="0" applyFont="1" applyBorder="1" applyAlignment="1">
      <alignment horizontal="center"/>
    </xf>
    <xf numFmtId="0" fontId="0" fillId="0" borderId="135" xfId="0" applyBorder="1" applyAlignment="1">
      <alignment horizontal="center"/>
    </xf>
    <xf numFmtId="0" fontId="0" fillId="0" borderId="156" xfId="0" applyBorder="1" applyAlignment="1">
      <alignment horizontal="center"/>
    </xf>
    <xf numFmtId="0" fontId="9" fillId="0" borderId="16" xfId="3" applyFont="1" applyBorder="1" applyAlignment="1">
      <alignment vertical="center"/>
    </xf>
    <xf numFmtId="0" fontId="7" fillId="0" borderId="3" xfId="3" applyBorder="1" applyAlignment="1">
      <alignment vertical="center"/>
    </xf>
    <xf numFmtId="0" fontId="7" fillId="0" borderId="26" xfId="3" applyBorder="1" applyAlignment="1">
      <alignment vertical="center"/>
    </xf>
    <xf numFmtId="0" fontId="9" fillId="0" borderId="3" xfId="3" applyFont="1" applyBorder="1" applyAlignment="1">
      <alignment vertical="center"/>
    </xf>
    <xf numFmtId="0" fontId="9" fillId="0" borderId="26" xfId="3" applyFont="1" applyBorder="1" applyAlignment="1">
      <alignment vertical="center"/>
    </xf>
    <xf numFmtId="0" fontId="7" fillId="0" borderId="4" xfId="3" applyBorder="1" applyAlignment="1">
      <alignment vertical="center"/>
    </xf>
    <xf numFmtId="0" fontId="0" fillId="0" borderId="19" xfId="0" applyBorder="1" applyAlignment="1">
      <alignment horizontal="center" vertical="center"/>
    </xf>
    <xf numFmtId="0" fontId="0" fillId="0" borderId="13" xfId="0" applyBorder="1" applyAlignment="1">
      <alignment horizontal="center" vertical="center"/>
    </xf>
    <xf numFmtId="0" fontId="0" fillId="0" borderId="28" xfId="0" applyBorder="1" applyAlignment="1">
      <alignment horizontal="center" vertical="center"/>
    </xf>
    <xf numFmtId="0" fontId="52" fillId="0" borderId="19" xfId="0" applyFont="1" applyBorder="1" applyAlignment="1">
      <alignment horizontal="center" vertical="center"/>
    </xf>
    <xf numFmtId="0" fontId="52" fillId="0" borderId="13" xfId="0" applyFont="1" applyBorder="1" applyAlignment="1">
      <alignment horizontal="center" vertical="center"/>
    </xf>
    <xf numFmtId="0" fontId="52" fillId="0" borderId="28" xfId="0" applyFont="1" applyBorder="1" applyAlignment="1">
      <alignment horizontal="center" vertical="center"/>
    </xf>
    <xf numFmtId="0" fontId="0" fillId="0" borderId="63" xfId="0" applyBorder="1" applyAlignment="1">
      <alignment horizontal="center"/>
    </xf>
    <xf numFmtId="0" fontId="77" fillId="0" borderId="20" xfId="0" applyFont="1" applyBorder="1"/>
    <xf numFmtId="0" fontId="77" fillId="0" borderId="18" xfId="0" applyFont="1" applyBorder="1"/>
    <xf numFmtId="0" fontId="77" fillId="0" borderId="45" xfId="0" applyFont="1" applyBorder="1"/>
    <xf numFmtId="0" fontId="77" fillId="0" borderId="14" xfId="0" applyFont="1" applyBorder="1"/>
    <xf numFmtId="0" fontId="77" fillId="0" borderId="0" xfId="0" applyFont="1" applyBorder="1"/>
    <xf numFmtId="0" fontId="77" fillId="0" borderId="58" xfId="0" applyFont="1" applyBorder="1"/>
    <xf numFmtId="168" fontId="77" fillId="0" borderId="14" xfId="0" applyNumberFormat="1" applyFont="1" applyBorder="1"/>
    <xf numFmtId="168" fontId="77" fillId="0" borderId="0" xfId="0" applyNumberFormat="1" applyFont="1" applyBorder="1"/>
    <xf numFmtId="168" fontId="77" fillId="0" borderId="58" xfId="0" applyNumberFormat="1" applyFont="1" applyBorder="1"/>
    <xf numFmtId="9" fontId="77" fillId="0" borderId="14" xfId="0" applyNumberFormat="1" applyFont="1" applyBorder="1"/>
    <xf numFmtId="9" fontId="77" fillId="0" borderId="0" xfId="0" applyNumberFormat="1" applyFont="1" applyBorder="1"/>
    <xf numFmtId="9" fontId="77" fillId="0" borderId="58" xfId="0" applyNumberFormat="1" applyFont="1" applyBorder="1"/>
    <xf numFmtId="9" fontId="77" fillId="0" borderId="29" xfId="0" applyNumberFormat="1" applyFont="1" applyBorder="1"/>
    <xf numFmtId="9" fontId="77" fillId="0" borderId="27" xfId="0" applyNumberFormat="1" applyFont="1" applyBorder="1"/>
    <xf numFmtId="0" fontId="77" fillId="0" borderId="27" xfId="0" applyFont="1" applyBorder="1"/>
    <xf numFmtId="9" fontId="77" fillId="0" borderId="54" xfId="0" applyNumberFormat="1" applyFont="1" applyBorder="1"/>
  </cellXfs>
  <cellStyles count="23">
    <cellStyle name="Comma [0] 2" xfId="4" xr:uid="{DAE08E17-057A-463E-A089-4B5A8FB75FE1}"/>
    <cellStyle name="Comma 2" xfId="5" xr:uid="{C4DACBD5-84AC-49B5-A02D-6132827EC60F}"/>
    <cellStyle name="Hyperlink" xfId="20" builtinId="8"/>
    <cellStyle name="Hyperlink 2" xfId="2" xr:uid="{92229932-FC80-400C-A152-2A0CCDA40AFD}"/>
    <cellStyle name="Normal" xfId="0" builtinId="0"/>
    <cellStyle name="Normal 2" xfId="1" xr:uid="{12CFFB17-2EBF-4BC9-8ABB-C9C6A0CAAFF9}"/>
    <cellStyle name="Normal 2 2" xfId="3" xr:uid="{480B2B65-36E5-4634-8940-A26CCC28F5E5}"/>
    <cellStyle name="Normal 2 3" xfId="16" xr:uid="{76238440-9C23-4A6F-BC2A-9B6CC19528E1}"/>
    <cellStyle name="Normal 3" xfId="11" xr:uid="{6A86F0D5-0785-4028-8B19-CB2179451221}"/>
    <cellStyle name="Normal 5" xfId="19" xr:uid="{338C67AE-7CD5-49B5-AB69-DD7413086E4B}"/>
    <cellStyle name="Normal 5 2" xfId="22" xr:uid="{F2C1EBA6-2F4B-4C9B-AA4E-502D21204853}"/>
    <cellStyle name="Normal_anpfstab" xfId="15" xr:uid="{2802C0FD-E304-4E6E-8BDE-28F4ED5F0F3D}"/>
    <cellStyle name="Normal_triwebstat" xfId="17" xr:uid="{FBD058F8-38A9-4EE4-AE78-34B78330FE7E}"/>
    <cellStyle name="Percent" xfId="14" builtinId="5"/>
    <cellStyle name="Percent 2" xfId="7" xr:uid="{FAF2043D-DAFD-4915-BC2E-EF1920FCA263}"/>
    <cellStyle name="Percent 3" xfId="21" xr:uid="{4E7CA409-A8F6-4B4D-B9FD-753E5C5A1D08}"/>
    <cellStyle name="パーセント 2" xfId="8" xr:uid="{4175CC8F-071E-49D4-996C-1D7BAA6A2232}"/>
    <cellStyle name="백분율 2" xfId="10" xr:uid="{45B0E69B-D93C-406A-82C7-4BEC4DF973D5}"/>
    <cellStyle name="백분율 3" xfId="12" xr:uid="{229A0457-B855-4024-9499-C9EC8EEA0D77}"/>
    <cellStyle name="표준 9" xfId="18" xr:uid="{DAE1B926-D09E-4065-9336-7619A887B5AF}"/>
    <cellStyle name="常规 3" xfId="9" xr:uid="{D377067E-5B32-4E2D-BF04-C2208EF6E339}"/>
    <cellStyle name="標準 5" xfId="6" xr:uid="{0B757D04-3192-4B74-8B0F-0A237D339999}"/>
    <cellStyle name="標準_Sheet" xfId="13" xr:uid="{0932E26B-6E16-4831-BC0F-89BC03DD92A9}"/>
  </cellStyles>
  <dxfs count="0"/>
  <tableStyles count="0" defaultTableStyle="TableStyleMedium2" defaultPivotStyle="PivotStyleLight16"/>
  <colors>
    <mruColors>
      <color rgb="FFFFFFFF"/>
      <color rgb="FFFFCCCC"/>
      <color rgb="FFCC99FF"/>
      <color rgb="FFFCB7A2"/>
      <color rgb="FF9966FF"/>
      <color rgb="FF948A54"/>
      <color rgb="FF008000"/>
      <color rgb="FF009900"/>
      <color rgb="FF0000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4.xml"/><Relationship Id="rId1" Type="http://schemas.microsoft.com/office/2011/relationships/chartStyle" Target="style4.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2.xml"/></Relationships>
</file>

<file path=xl/charts/_rels/chart2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2.xml"/><Relationship Id="rId1" Type="http://schemas.microsoft.com/office/2011/relationships/chartStyle" Target="style12.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4.xml"/><Relationship Id="rId1" Type="http://schemas.microsoft.com/office/2011/relationships/chartStyle" Target="style14.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5.xml"/><Relationship Id="rId1" Type="http://schemas.microsoft.com/office/2011/relationships/chartStyle" Target="style15.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6.xml"/><Relationship Id="rId1" Type="http://schemas.microsoft.com/office/2011/relationships/chartStyle" Target="style16.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7.xml"/><Relationship Id="rId1" Type="http://schemas.microsoft.com/office/2011/relationships/chartStyle" Target="style17.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18.xml"/><Relationship Id="rId1" Type="http://schemas.microsoft.com/office/2011/relationships/chartStyle" Target="style18.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9.xml"/><Relationship Id="rId1" Type="http://schemas.microsoft.com/office/2011/relationships/chartStyle" Target="style19.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20.xml"/><Relationship Id="rId1" Type="http://schemas.microsoft.com/office/2011/relationships/chartStyle" Target="style20.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1.xml"/><Relationship Id="rId1" Type="http://schemas.microsoft.com/office/2011/relationships/chartStyle" Target="style21.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22.xml"/><Relationship Id="rId1" Type="http://schemas.microsoft.com/office/2011/relationships/chartStyle" Target="style22.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3.xml"/><Relationship Id="rId1" Type="http://schemas.microsoft.com/office/2011/relationships/chartStyle" Target="style2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4.xml"/><Relationship Id="rId1" Type="http://schemas.microsoft.com/office/2011/relationships/chartStyle" Target="style24.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25.xml"/><Relationship Id="rId1" Type="http://schemas.microsoft.com/office/2011/relationships/chartStyle" Target="style25.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6.xml"/><Relationship Id="rId1" Type="http://schemas.microsoft.com/office/2011/relationships/chartStyle" Target="style26.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27.xml"/><Relationship Id="rId1" Type="http://schemas.microsoft.com/office/2011/relationships/chartStyle" Target="style27.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8.xml"/><Relationship Id="rId1" Type="http://schemas.microsoft.com/office/2011/relationships/chartStyle" Target="style28.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29.xml"/><Relationship Id="rId1" Type="http://schemas.microsoft.com/office/2011/relationships/chartStyle" Target="style29.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30.xml"/><Relationship Id="rId1" Type="http://schemas.microsoft.com/office/2011/relationships/chartStyle" Target="style30.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31.xml"/><Relationship Id="rId1" Type="http://schemas.microsoft.com/office/2011/relationships/chartStyle" Target="style31.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32.xml"/><Relationship Id="rId1" Type="http://schemas.microsoft.com/office/2011/relationships/chartStyle" Target="style32.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33.xml"/><Relationship Id="rId1" Type="http://schemas.microsoft.com/office/2011/relationships/chartStyle" Target="style3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34.xml"/><Relationship Id="rId1" Type="http://schemas.microsoft.com/office/2011/relationships/chartStyle" Target="style34.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35.xml"/><Relationship Id="rId1" Type="http://schemas.microsoft.com/office/2011/relationships/chartStyle" Target="style35.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36.xml"/><Relationship Id="rId1" Type="http://schemas.microsoft.com/office/2011/relationships/chartStyle" Target="style36.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37.xml"/><Relationship Id="rId1" Type="http://schemas.microsoft.com/office/2011/relationships/chartStyle" Target="style37.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38.xml"/><Relationship Id="rId1" Type="http://schemas.microsoft.com/office/2011/relationships/chartStyle" Target="style38.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39.xml"/><Relationship Id="rId1" Type="http://schemas.microsoft.com/office/2011/relationships/chartStyle" Target="style39.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40.xml"/><Relationship Id="rId1" Type="http://schemas.microsoft.com/office/2011/relationships/chartStyle" Target="style40.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62.xml"/><Relationship Id="rId2" Type="http://schemas.microsoft.com/office/2011/relationships/chartColorStyle" Target="colors41.xml"/><Relationship Id="rId1" Type="http://schemas.microsoft.com/office/2011/relationships/chartStyle" Target="style41.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42.xml"/><Relationship Id="rId1" Type="http://schemas.microsoft.com/office/2011/relationships/chartStyle" Target="style42.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43.xml"/><Relationship Id="rId1" Type="http://schemas.microsoft.com/office/2011/relationships/chartStyle" Target="style4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66.xml"/><Relationship Id="rId2" Type="http://schemas.microsoft.com/office/2011/relationships/chartColorStyle" Target="colors44.xml"/><Relationship Id="rId1" Type="http://schemas.microsoft.com/office/2011/relationships/chartStyle" Target="style44.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68.xml"/><Relationship Id="rId2" Type="http://schemas.microsoft.com/office/2011/relationships/chartColorStyle" Target="colors45.xml"/><Relationship Id="rId1" Type="http://schemas.microsoft.com/office/2011/relationships/chartStyle" Target="style45.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69.xml"/><Relationship Id="rId2" Type="http://schemas.microsoft.com/office/2011/relationships/chartColorStyle" Target="colors46.xml"/><Relationship Id="rId1" Type="http://schemas.microsoft.com/office/2011/relationships/chartStyle" Target="style46.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47.xml"/><Relationship Id="rId1" Type="http://schemas.microsoft.com/office/2011/relationships/chartStyle" Target="style47.xml"/></Relationships>
</file>

<file path=xl/charts/_rels/chart66.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74.xml"/><Relationship Id="rId2" Type="http://schemas.microsoft.com/office/2011/relationships/chartColorStyle" Target="colors49.xml"/><Relationship Id="rId1" Type="http://schemas.microsoft.com/office/2011/relationships/chartStyle" Target="style49.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75.xml"/><Relationship Id="rId2" Type="http://schemas.microsoft.com/office/2011/relationships/chartColorStyle" Target="colors50.xml"/><Relationship Id="rId1" Type="http://schemas.microsoft.com/office/2011/relationships/chartStyle" Target="style50.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76.xml"/><Relationship Id="rId2" Type="http://schemas.microsoft.com/office/2011/relationships/chartColorStyle" Target="colors51.xml"/><Relationship Id="rId1" Type="http://schemas.microsoft.com/office/2011/relationships/chartStyle" Target="style5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0.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78.xml"/><Relationship Id="rId2" Type="http://schemas.microsoft.com/office/2011/relationships/chartColorStyle" Target="colors53.xml"/><Relationship Id="rId1" Type="http://schemas.microsoft.com/office/2011/relationships/chartStyle" Target="style53.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79.xml"/><Relationship Id="rId2" Type="http://schemas.microsoft.com/office/2011/relationships/chartColorStyle" Target="colors54.xml"/><Relationship Id="rId1" Type="http://schemas.microsoft.com/office/2011/relationships/chartStyle" Target="style54.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80.xml"/><Relationship Id="rId2" Type="http://schemas.microsoft.com/office/2011/relationships/chartColorStyle" Target="colors55.xml"/><Relationship Id="rId1" Type="http://schemas.microsoft.com/office/2011/relationships/chartStyle" Target="style55.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81.xml"/><Relationship Id="rId2" Type="http://schemas.microsoft.com/office/2011/relationships/chartColorStyle" Target="colors56.xml"/><Relationship Id="rId1" Type="http://schemas.microsoft.com/office/2011/relationships/chartStyle" Target="style56.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82.xml"/><Relationship Id="rId2" Type="http://schemas.microsoft.com/office/2011/relationships/chartColorStyle" Target="colors57.xml"/><Relationship Id="rId1" Type="http://schemas.microsoft.com/office/2011/relationships/chartStyle" Target="style57.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84.xml"/><Relationship Id="rId2" Type="http://schemas.microsoft.com/office/2011/relationships/chartColorStyle" Target="colors58.xml"/><Relationship Id="rId1" Type="http://schemas.microsoft.com/office/2011/relationships/chartStyle" Target="style58.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85.xml"/><Relationship Id="rId2" Type="http://schemas.microsoft.com/office/2011/relationships/chartColorStyle" Target="colors59.xml"/><Relationship Id="rId1" Type="http://schemas.microsoft.com/office/2011/relationships/chartStyle" Target="style59.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86.xml"/><Relationship Id="rId2" Type="http://schemas.microsoft.com/office/2011/relationships/chartColorStyle" Target="colors60.xml"/><Relationship Id="rId1" Type="http://schemas.microsoft.com/office/2011/relationships/chartStyle" Target="style60.xml"/></Relationships>
</file>

<file path=xl/charts/_rels/chart79.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61.xml"/><Relationship Id="rId1" Type="http://schemas.microsoft.com/office/2011/relationships/chartStyle" Target="style6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0.xml.rels><?xml version="1.0" encoding="UTF-8" standalone="yes"?>
<Relationships xmlns="http://schemas.openxmlformats.org/package/2006/relationships"><Relationship Id="rId3" Type="http://schemas.openxmlformats.org/officeDocument/2006/relationships/chartUserShapes" Target="../drawings/drawing88.xml"/><Relationship Id="rId2" Type="http://schemas.microsoft.com/office/2011/relationships/chartColorStyle" Target="colors62.xml"/><Relationship Id="rId1" Type="http://schemas.microsoft.com/office/2011/relationships/chartStyle" Target="style62.xml"/></Relationships>
</file>

<file path=xl/charts/_rels/chart81.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63.xml"/><Relationship Id="rId1" Type="http://schemas.microsoft.com/office/2011/relationships/chartStyle" Target="style63.xml"/></Relationships>
</file>

<file path=xl/charts/_rels/chart82.xml.rels><?xml version="1.0" encoding="UTF-8" standalone="yes"?>
<Relationships xmlns="http://schemas.openxmlformats.org/package/2006/relationships"><Relationship Id="rId3" Type="http://schemas.openxmlformats.org/officeDocument/2006/relationships/chartUserShapes" Target="../drawings/drawing91.xml"/><Relationship Id="rId2" Type="http://schemas.microsoft.com/office/2011/relationships/chartColorStyle" Target="colors64.xml"/><Relationship Id="rId1" Type="http://schemas.microsoft.com/office/2011/relationships/chartStyle" Target="style64.xml"/></Relationships>
</file>

<file path=xl/charts/_rels/chart83.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65.xml"/><Relationship Id="rId1" Type="http://schemas.microsoft.com/office/2011/relationships/chartStyle" Target="style6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2014</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BD8E-4841-A055-009CEE7AC57E}"/>
              </c:ext>
            </c:extLst>
          </c:dPt>
          <c:dPt>
            <c:idx val="1"/>
            <c:bubble3D val="0"/>
            <c:spPr>
              <a:solidFill>
                <a:srgbClr val="FF0000"/>
              </a:solidFill>
              <a:ln>
                <a:solidFill>
                  <a:schemeClr val="bg1"/>
                </a:solidFill>
              </a:ln>
            </c:spPr>
            <c:extLst>
              <c:ext xmlns:c16="http://schemas.microsoft.com/office/drawing/2014/chart" uri="{C3380CC4-5D6E-409C-BE32-E72D297353CC}">
                <c16:uniqueId val="{00000003-BD8E-4841-A055-009CEE7AC57E}"/>
              </c:ext>
            </c:extLst>
          </c:dPt>
          <c:dPt>
            <c:idx val="2"/>
            <c:bubble3D val="0"/>
            <c:spPr>
              <a:solidFill>
                <a:srgbClr val="7030A0"/>
              </a:solidFill>
              <a:ln>
                <a:solidFill>
                  <a:schemeClr val="bg1"/>
                </a:solidFill>
              </a:ln>
            </c:spPr>
            <c:extLst>
              <c:ext xmlns:c16="http://schemas.microsoft.com/office/drawing/2014/chart" uri="{C3380CC4-5D6E-409C-BE32-E72D297353CC}">
                <c16:uniqueId val="{00000005-BD8E-4841-A055-009CEE7AC57E}"/>
              </c:ext>
            </c:extLst>
          </c:dPt>
          <c:dPt>
            <c:idx val="3"/>
            <c:bubble3D val="0"/>
            <c:spPr>
              <a:solidFill>
                <a:srgbClr val="FFC000"/>
              </a:solidFill>
              <a:ln>
                <a:solidFill>
                  <a:schemeClr val="bg1"/>
                </a:solidFill>
              </a:ln>
            </c:spPr>
            <c:extLst>
              <c:ext xmlns:c16="http://schemas.microsoft.com/office/drawing/2014/chart" uri="{C3380CC4-5D6E-409C-BE32-E72D297353CC}">
                <c16:uniqueId val="{00000007-BD8E-4841-A055-009CEE7AC57E}"/>
              </c:ext>
            </c:extLst>
          </c:dPt>
          <c:dPt>
            <c:idx val="4"/>
            <c:bubble3D val="0"/>
            <c:spPr>
              <a:solidFill>
                <a:srgbClr val="008000"/>
              </a:solidFill>
              <a:ln>
                <a:solidFill>
                  <a:schemeClr val="bg1"/>
                </a:solidFill>
              </a:ln>
            </c:spPr>
            <c:extLst>
              <c:ext xmlns:c16="http://schemas.microsoft.com/office/drawing/2014/chart" uri="{C3380CC4-5D6E-409C-BE32-E72D297353CC}">
                <c16:uniqueId val="{00000009-BD8E-4841-A055-009CEE7AC57E}"/>
              </c:ext>
            </c:extLst>
          </c:dPt>
          <c:dPt>
            <c:idx val="5"/>
            <c:bubble3D val="0"/>
            <c:spPr>
              <a:solidFill>
                <a:schemeClr val="accent2"/>
              </a:solidFill>
              <a:ln>
                <a:solidFill>
                  <a:schemeClr val="bg1"/>
                </a:solidFill>
              </a:ln>
            </c:spPr>
            <c:extLst>
              <c:ext xmlns:c16="http://schemas.microsoft.com/office/drawing/2014/chart" uri="{C3380CC4-5D6E-409C-BE32-E72D297353CC}">
                <c16:uniqueId val="{0000000B-BD8E-4841-A055-009CEE7AC57E}"/>
              </c:ext>
            </c:extLst>
          </c:dPt>
          <c:dLbls>
            <c:dLbl>
              <c:idx val="0"/>
              <c:layout>
                <c:manualLayout>
                  <c:x val="-0.20629953074047563"/>
                  <c:y val="0.23215793820266173"/>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19191919191918"/>
                      <c:h val="0.28706765691402547"/>
                    </c:manualLayout>
                  </c15:layout>
                </c:ext>
                <c:ext xmlns:c16="http://schemas.microsoft.com/office/drawing/2014/chart" uri="{C3380CC4-5D6E-409C-BE32-E72D297353CC}">
                  <c16:uniqueId val="{00000001-BD8E-4841-A055-009CEE7AC57E}"/>
                </c:ext>
              </c:extLst>
            </c:dLbl>
            <c:dLbl>
              <c:idx val="1"/>
              <c:layout>
                <c:manualLayout>
                  <c:x val="-0.20870468464169259"/>
                  <c:y val="-0.1674124455004677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327272727272727"/>
                      <c:h val="0.23210944405079867"/>
                    </c:manualLayout>
                  </c15:layout>
                </c:ext>
                <c:ext xmlns:c16="http://schemas.microsoft.com/office/drawing/2014/chart" uri="{C3380CC4-5D6E-409C-BE32-E72D297353CC}">
                  <c16:uniqueId val="{00000003-BD8E-4841-A055-009CEE7AC57E}"/>
                </c:ext>
              </c:extLst>
            </c:dLbl>
            <c:dLbl>
              <c:idx val="3"/>
              <c:layout>
                <c:manualLayout>
                  <c:x val="0.16727686311938281"/>
                  <c:y val="-6.8563480778110419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741414141414141"/>
                      <c:h val="0.28706765691402547"/>
                    </c:manualLayout>
                  </c15:layout>
                </c:ext>
                <c:ext xmlns:c16="http://schemas.microsoft.com/office/drawing/2014/chart" uri="{C3380CC4-5D6E-409C-BE32-E72D297353CC}">
                  <c16:uniqueId val="{00000007-BD8E-4841-A055-009CEE7AC57E}"/>
                </c:ext>
              </c:extLst>
            </c:dLbl>
            <c:dLbl>
              <c:idx val="5"/>
              <c:layout>
                <c:manualLayout>
                  <c:x val="0.14300866937087409"/>
                  <c:y val="0.13515851787694214"/>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010101010101009"/>
                      <c:h val="0.23210944405079867"/>
                    </c:manualLayout>
                  </c15:layout>
                </c:ext>
                <c:ext xmlns:c16="http://schemas.microsoft.com/office/drawing/2014/chart" uri="{C3380CC4-5D6E-409C-BE32-E72D297353CC}">
                  <c16:uniqueId val="{0000000B-BD8E-4841-A055-009CEE7AC57E}"/>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Patents-in-Force'!$N$8:$N$13</c:f>
              <c:numCache>
                <c:formatCode>#,##0</c:formatCode>
                <c:ptCount val="6"/>
                <c:pt idx="0">
                  <c:v>2484819</c:v>
                </c:pt>
                <c:pt idx="1">
                  <c:v>1920490</c:v>
                </c:pt>
                <c:pt idx="2">
                  <c:v>885904</c:v>
                </c:pt>
                <c:pt idx="3">
                  <c:v>1196497</c:v>
                </c:pt>
                <c:pt idx="4">
                  <c:v>2527750</c:v>
                </c:pt>
                <c:pt idx="5">
                  <c:v>1017525</c:v>
                </c:pt>
              </c:numCache>
            </c:numRef>
          </c:val>
          <c:extLst>
            <c:ext xmlns:c16="http://schemas.microsoft.com/office/drawing/2014/chart" uri="{C3380CC4-5D6E-409C-BE32-E72D297353CC}">
              <c16:uniqueId val="{0000000C-BD8E-4841-A055-009CEE7AC57E}"/>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BD8E-4841-A055-009CEE7AC57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BD8E-4841-A055-009CEE7AC57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BD8E-4841-A055-009CEE7AC57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BD8E-4841-A055-009CEE7AC57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BD8E-4841-A055-009CEE7AC57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BD8E-4841-A055-009CEE7AC57E}"/>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BD8E-4841-A055-009CEE7AC57E}"/>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2012</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0498-418B-8537-135061AD1445}"/>
              </c:ext>
            </c:extLst>
          </c:dPt>
          <c:dPt>
            <c:idx val="1"/>
            <c:bubble3D val="0"/>
            <c:spPr>
              <a:solidFill>
                <a:srgbClr val="FF0000"/>
              </a:solidFill>
              <a:ln>
                <a:solidFill>
                  <a:schemeClr val="bg1"/>
                </a:solidFill>
              </a:ln>
            </c:spPr>
            <c:extLst>
              <c:ext xmlns:c16="http://schemas.microsoft.com/office/drawing/2014/chart" uri="{C3380CC4-5D6E-409C-BE32-E72D297353CC}">
                <c16:uniqueId val="{00000003-0498-418B-8537-135061AD1445}"/>
              </c:ext>
            </c:extLst>
          </c:dPt>
          <c:dPt>
            <c:idx val="2"/>
            <c:bubble3D val="0"/>
            <c:spPr>
              <a:solidFill>
                <a:srgbClr val="7030A0"/>
              </a:solidFill>
              <a:ln>
                <a:solidFill>
                  <a:schemeClr val="bg1"/>
                </a:solidFill>
              </a:ln>
            </c:spPr>
            <c:extLst>
              <c:ext xmlns:c16="http://schemas.microsoft.com/office/drawing/2014/chart" uri="{C3380CC4-5D6E-409C-BE32-E72D297353CC}">
                <c16:uniqueId val="{00000005-0498-418B-8537-135061AD1445}"/>
              </c:ext>
            </c:extLst>
          </c:dPt>
          <c:dPt>
            <c:idx val="3"/>
            <c:bubble3D val="0"/>
            <c:spPr>
              <a:solidFill>
                <a:srgbClr val="FFC000"/>
              </a:solidFill>
              <a:ln>
                <a:solidFill>
                  <a:schemeClr val="bg1"/>
                </a:solidFill>
              </a:ln>
            </c:spPr>
            <c:extLst>
              <c:ext xmlns:c16="http://schemas.microsoft.com/office/drawing/2014/chart" uri="{C3380CC4-5D6E-409C-BE32-E72D297353CC}">
                <c16:uniqueId val="{00000007-0498-418B-8537-135061AD1445}"/>
              </c:ext>
            </c:extLst>
          </c:dPt>
          <c:dPt>
            <c:idx val="4"/>
            <c:bubble3D val="0"/>
            <c:spPr>
              <a:solidFill>
                <a:srgbClr val="008000"/>
              </a:solidFill>
              <a:ln>
                <a:solidFill>
                  <a:schemeClr val="bg1"/>
                </a:solidFill>
              </a:ln>
            </c:spPr>
            <c:extLst>
              <c:ext xmlns:c16="http://schemas.microsoft.com/office/drawing/2014/chart" uri="{C3380CC4-5D6E-409C-BE32-E72D297353CC}">
                <c16:uniqueId val="{00000009-0498-418B-8537-135061AD1445}"/>
              </c:ext>
            </c:extLst>
          </c:dPt>
          <c:dPt>
            <c:idx val="5"/>
            <c:bubble3D val="0"/>
            <c:spPr>
              <a:solidFill>
                <a:schemeClr val="accent2"/>
              </a:solidFill>
              <a:ln>
                <a:solidFill>
                  <a:schemeClr val="bg1"/>
                </a:solidFill>
              </a:ln>
            </c:spPr>
            <c:extLst>
              <c:ext xmlns:c16="http://schemas.microsoft.com/office/drawing/2014/chart" uri="{C3380CC4-5D6E-409C-BE32-E72D297353CC}">
                <c16:uniqueId val="{0000000B-0498-418B-8537-135061AD1445}"/>
              </c:ext>
            </c:extLst>
          </c:dPt>
          <c:dLbls>
            <c:dLbl>
              <c:idx val="3"/>
              <c:layout>
                <c:manualLayout>
                  <c:x val="0.17378668575518968"/>
                  <c:y val="-8.369993945480973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40809671518333"/>
                      <c:h val="0.23210944405079867"/>
                    </c:manualLayout>
                  </c15:layout>
                </c:ext>
                <c:ext xmlns:c16="http://schemas.microsoft.com/office/drawing/2014/chart" uri="{C3380CC4-5D6E-409C-BE32-E72D297353CC}">
                  <c16:uniqueId val="{00000007-0498-418B-8537-135061AD1445}"/>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Patents-in-Force'!$J$8:$J$13</c:f>
              <c:numCache>
                <c:formatCode>#,##0</c:formatCode>
                <c:ptCount val="6"/>
                <c:pt idx="0">
                  <c:v>2135765</c:v>
                </c:pt>
                <c:pt idx="1">
                  <c:v>1694435</c:v>
                </c:pt>
                <c:pt idx="2">
                  <c:v>738312</c:v>
                </c:pt>
                <c:pt idx="3">
                  <c:v>875385</c:v>
                </c:pt>
                <c:pt idx="4">
                  <c:v>2239231</c:v>
                </c:pt>
                <c:pt idx="5">
                  <c:v>858959</c:v>
                </c:pt>
              </c:numCache>
            </c:numRef>
          </c:val>
          <c:extLst>
            <c:ext xmlns:c16="http://schemas.microsoft.com/office/drawing/2014/chart" uri="{C3380CC4-5D6E-409C-BE32-E72D297353CC}">
              <c16:uniqueId val="{0000000C-0498-418B-8537-135061AD1445}"/>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0498-418B-8537-135061AD144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0498-418B-8537-135061AD144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0498-418B-8537-135061AD144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0498-418B-8537-135061AD144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0498-418B-8537-135061AD144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0498-418B-8537-135061AD1445}"/>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0498-418B-8537-135061AD144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2011</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8A30-49EB-8E09-CAA9C8433E7B}"/>
              </c:ext>
            </c:extLst>
          </c:dPt>
          <c:dPt>
            <c:idx val="1"/>
            <c:bubble3D val="0"/>
            <c:spPr>
              <a:solidFill>
                <a:srgbClr val="FF0000"/>
              </a:solidFill>
              <a:ln>
                <a:solidFill>
                  <a:schemeClr val="bg1"/>
                </a:solidFill>
              </a:ln>
            </c:spPr>
            <c:extLst>
              <c:ext xmlns:c16="http://schemas.microsoft.com/office/drawing/2014/chart" uri="{C3380CC4-5D6E-409C-BE32-E72D297353CC}">
                <c16:uniqueId val="{00000003-8A30-49EB-8E09-CAA9C8433E7B}"/>
              </c:ext>
            </c:extLst>
          </c:dPt>
          <c:dPt>
            <c:idx val="2"/>
            <c:bubble3D val="0"/>
            <c:spPr>
              <a:solidFill>
                <a:srgbClr val="7030A0"/>
              </a:solidFill>
              <a:ln>
                <a:solidFill>
                  <a:schemeClr val="bg1"/>
                </a:solidFill>
              </a:ln>
            </c:spPr>
            <c:extLst>
              <c:ext xmlns:c16="http://schemas.microsoft.com/office/drawing/2014/chart" uri="{C3380CC4-5D6E-409C-BE32-E72D297353CC}">
                <c16:uniqueId val="{00000005-8A30-49EB-8E09-CAA9C8433E7B}"/>
              </c:ext>
            </c:extLst>
          </c:dPt>
          <c:dPt>
            <c:idx val="3"/>
            <c:bubble3D val="0"/>
            <c:spPr>
              <a:solidFill>
                <a:srgbClr val="FFC000"/>
              </a:solidFill>
              <a:ln>
                <a:solidFill>
                  <a:schemeClr val="bg1"/>
                </a:solidFill>
              </a:ln>
            </c:spPr>
            <c:extLst>
              <c:ext xmlns:c16="http://schemas.microsoft.com/office/drawing/2014/chart" uri="{C3380CC4-5D6E-409C-BE32-E72D297353CC}">
                <c16:uniqueId val="{00000007-8A30-49EB-8E09-CAA9C8433E7B}"/>
              </c:ext>
            </c:extLst>
          </c:dPt>
          <c:dPt>
            <c:idx val="4"/>
            <c:bubble3D val="0"/>
            <c:spPr>
              <a:solidFill>
                <a:srgbClr val="008000"/>
              </a:solidFill>
              <a:ln>
                <a:solidFill>
                  <a:schemeClr val="bg1"/>
                </a:solidFill>
              </a:ln>
            </c:spPr>
            <c:extLst>
              <c:ext xmlns:c16="http://schemas.microsoft.com/office/drawing/2014/chart" uri="{C3380CC4-5D6E-409C-BE32-E72D297353CC}">
                <c16:uniqueId val="{00000009-8A30-49EB-8E09-CAA9C8433E7B}"/>
              </c:ext>
            </c:extLst>
          </c:dPt>
          <c:dPt>
            <c:idx val="5"/>
            <c:bubble3D val="0"/>
            <c:spPr>
              <a:solidFill>
                <a:schemeClr val="accent2"/>
              </a:solidFill>
              <a:ln>
                <a:solidFill>
                  <a:schemeClr val="bg1"/>
                </a:solidFill>
              </a:ln>
            </c:spPr>
            <c:extLst>
              <c:ext xmlns:c16="http://schemas.microsoft.com/office/drawing/2014/chart" uri="{C3380CC4-5D6E-409C-BE32-E72D297353CC}">
                <c16:uniqueId val="{0000000B-8A30-49EB-8E09-CAA9C8433E7B}"/>
              </c:ext>
            </c:extLst>
          </c:dPt>
          <c:dLbls>
            <c:dLbl>
              <c:idx val="0"/>
              <c:layout>
                <c:manualLayout>
                  <c:x val="-0.21466412153026335"/>
                  <c:y val="0.21692433011209716"/>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894949494949495"/>
                      <c:h val="0.28706765691402547"/>
                    </c:manualLayout>
                  </c15:layout>
                </c:ext>
                <c:ext xmlns:c16="http://schemas.microsoft.com/office/drawing/2014/chart" uri="{C3380CC4-5D6E-409C-BE32-E72D297353CC}">
                  <c16:uniqueId val="{00000001-8A30-49EB-8E09-CAA9C8433E7B}"/>
                </c:ext>
              </c:extLst>
            </c:dLbl>
            <c:dLbl>
              <c:idx val="3"/>
              <c:layout>
                <c:manualLayout>
                  <c:x val="0.16055261274158905"/>
                  <c:y val="-0.1086481667116164"/>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19771733078819692"/>
                      <c:h val="0.23210944405079867"/>
                    </c:manualLayout>
                  </c15:layout>
                </c:ext>
                <c:ext xmlns:c16="http://schemas.microsoft.com/office/drawing/2014/chart" uri="{C3380CC4-5D6E-409C-BE32-E72D297353CC}">
                  <c16:uniqueId val="{00000007-8A30-49EB-8E09-CAA9C8433E7B}"/>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Patents-in-Force'!$H$8:$H$13</c:f>
              <c:numCache>
                <c:formatCode>#,##0</c:formatCode>
                <c:ptCount val="6"/>
                <c:pt idx="0">
                  <c:v>2005741</c:v>
                </c:pt>
                <c:pt idx="1">
                  <c:v>1542096</c:v>
                </c:pt>
                <c:pt idx="2">
                  <c:v>678005</c:v>
                </c:pt>
                <c:pt idx="3">
                  <c:v>696939</c:v>
                </c:pt>
                <c:pt idx="4">
                  <c:v>2113628</c:v>
                </c:pt>
                <c:pt idx="5">
                  <c:v>852403</c:v>
                </c:pt>
              </c:numCache>
            </c:numRef>
          </c:val>
          <c:extLst>
            <c:ext xmlns:c16="http://schemas.microsoft.com/office/drawing/2014/chart" uri="{C3380CC4-5D6E-409C-BE32-E72D297353CC}">
              <c16:uniqueId val="{0000000C-8A30-49EB-8E09-CAA9C8433E7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8A30-49EB-8E09-CAA9C8433E7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8A30-49EB-8E09-CAA9C8433E7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8A30-49EB-8E09-CAA9C8433E7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8A30-49EB-8E09-CAA9C8433E7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8A30-49EB-8E09-CAA9C8433E7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8A30-49EB-8E09-CAA9C8433E7B}"/>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8A30-49EB-8E09-CAA9C8433E7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2010</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1164-407C-99ED-9D60076DABC4}"/>
              </c:ext>
            </c:extLst>
          </c:dPt>
          <c:dPt>
            <c:idx val="1"/>
            <c:bubble3D val="0"/>
            <c:spPr>
              <a:solidFill>
                <a:srgbClr val="FF0000"/>
              </a:solidFill>
              <a:ln>
                <a:solidFill>
                  <a:schemeClr val="bg1"/>
                </a:solidFill>
              </a:ln>
            </c:spPr>
            <c:extLst>
              <c:ext xmlns:c16="http://schemas.microsoft.com/office/drawing/2014/chart" uri="{C3380CC4-5D6E-409C-BE32-E72D297353CC}">
                <c16:uniqueId val="{00000003-1164-407C-99ED-9D60076DABC4}"/>
              </c:ext>
            </c:extLst>
          </c:dPt>
          <c:dPt>
            <c:idx val="2"/>
            <c:bubble3D val="0"/>
            <c:spPr>
              <a:solidFill>
                <a:srgbClr val="7030A0"/>
              </a:solidFill>
              <a:ln>
                <a:solidFill>
                  <a:schemeClr val="bg1"/>
                </a:solidFill>
              </a:ln>
            </c:spPr>
            <c:extLst>
              <c:ext xmlns:c16="http://schemas.microsoft.com/office/drawing/2014/chart" uri="{C3380CC4-5D6E-409C-BE32-E72D297353CC}">
                <c16:uniqueId val="{00000005-1164-407C-99ED-9D60076DABC4}"/>
              </c:ext>
            </c:extLst>
          </c:dPt>
          <c:dPt>
            <c:idx val="3"/>
            <c:bubble3D val="0"/>
            <c:spPr>
              <a:solidFill>
                <a:srgbClr val="FFC000"/>
              </a:solidFill>
              <a:ln>
                <a:solidFill>
                  <a:schemeClr val="bg1"/>
                </a:solidFill>
              </a:ln>
            </c:spPr>
            <c:extLst>
              <c:ext xmlns:c16="http://schemas.microsoft.com/office/drawing/2014/chart" uri="{C3380CC4-5D6E-409C-BE32-E72D297353CC}">
                <c16:uniqueId val="{00000007-1164-407C-99ED-9D60076DABC4}"/>
              </c:ext>
            </c:extLst>
          </c:dPt>
          <c:dPt>
            <c:idx val="4"/>
            <c:bubble3D val="0"/>
            <c:spPr>
              <a:solidFill>
                <a:srgbClr val="008000"/>
              </a:solidFill>
              <a:ln>
                <a:solidFill>
                  <a:schemeClr val="bg1"/>
                </a:solidFill>
              </a:ln>
            </c:spPr>
            <c:extLst>
              <c:ext xmlns:c16="http://schemas.microsoft.com/office/drawing/2014/chart" uri="{C3380CC4-5D6E-409C-BE32-E72D297353CC}">
                <c16:uniqueId val="{00000009-1164-407C-99ED-9D60076DABC4}"/>
              </c:ext>
            </c:extLst>
          </c:dPt>
          <c:dPt>
            <c:idx val="5"/>
            <c:bubble3D val="0"/>
            <c:spPr>
              <a:solidFill>
                <a:schemeClr val="accent2"/>
              </a:solidFill>
              <a:ln>
                <a:solidFill>
                  <a:schemeClr val="bg1"/>
                </a:solidFill>
              </a:ln>
            </c:spPr>
            <c:extLst>
              <c:ext xmlns:c16="http://schemas.microsoft.com/office/drawing/2014/chart" uri="{C3380CC4-5D6E-409C-BE32-E72D297353CC}">
                <c16:uniqueId val="{0000000B-1164-407C-99ED-9D60076DABC4}"/>
              </c:ext>
            </c:extLst>
          </c:dPt>
          <c:dLbls>
            <c:dLbl>
              <c:idx val="0"/>
              <c:layout>
                <c:manualLayout>
                  <c:x val="-0.20456279328720273"/>
                  <c:y val="0.2357510165244225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531313131313133"/>
                      <c:h val="0.28706765691402547"/>
                    </c:manualLayout>
                  </c15:layout>
                </c:ext>
                <c:ext xmlns:c16="http://schemas.microsoft.com/office/drawing/2014/chart" uri="{C3380CC4-5D6E-409C-BE32-E72D297353CC}">
                  <c16:uniqueId val="{00000001-1164-407C-99ED-9D60076DABC4}"/>
                </c:ext>
              </c:extLst>
            </c:dLbl>
            <c:dLbl>
              <c:idx val="3"/>
              <c:layout>
                <c:manualLayout>
                  <c:x val="0.15881810228266921"/>
                  <c:y val="-9.406351026126587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38789469498131"/>
                      <c:h val="0.23210944405079867"/>
                    </c:manualLayout>
                  </c15:layout>
                </c:ext>
                <c:ext xmlns:c16="http://schemas.microsoft.com/office/drawing/2014/chart" uri="{C3380CC4-5D6E-409C-BE32-E72D297353CC}">
                  <c16:uniqueId val="{00000007-1164-407C-99ED-9D60076DABC4}"/>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Patents-in-Force'!$F$8:$F$13</c:f>
              <c:numCache>
                <c:formatCode>#,##0</c:formatCode>
                <c:ptCount val="6"/>
                <c:pt idx="0">
                  <c:v>1930762</c:v>
                </c:pt>
                <c:pt idx="1">
                  <c:v>1423432</c:v>
                </c:pt>
                <c:pt idx="2">
                  <c:v>640412</c:v>
                </c:pt>
                <c:pt idx="3">
                  <c:v>564760</c:v>
                </c:pt>
                <c:pt idx="4">
                  <c:v>2017318</c:v>
                </c:pt>
                <c:pt idx="5">
                  <c:v>823976</c:v>
                </c:pt>
              </c:numCache>
            </c:numRef>
          </c:val>
          <c:extLst>
            <c:ext xmlns:c16="http://schemas.microsoft.com/office/drawing/2014/chart" uri="{C3380CC4-5D6E-409C-BE32-E72D297353CC}">
              <c16:uniqueId val="{0000000C-1164-407C-99ED-9D60076DABC4}"/>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1164-407C-99ED-9D60076DABC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1164-407C-99ED-9D60076DABC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1164-407C-99ED-9D60076DABC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1164-407C-99ED-9D60076DABC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1164-407C-99ED-9D60076DABC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1164-407C-99ED-9D60076DABC4}"/>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1164-407C-99ED-9D60076DABC4}"/>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2009</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71F0-438D-B53F-C1A8A57D1AB6}"/>
              </c:ext>
            </c:extLst>
          </c:dPt>
          <c:dPt>
            <c:idx val="1"/>
            <c:bubble3D val="0"/>
            <c:spPr>
              <a:solidFill>
                <a:srgbClr val="FF0000"/>
              </a:solidFill>
              <a:ln>
                <a:solidFill>
                  <a:schemeClr val="bg1"/>
                </a:solidFill>
              </a:ln>
            </c:spPr>
            <c:extLst>
              <c:ext xmlns:c16="http://schemas.microsoft.com/office/drawing/2014/chart" uri="{C3380CC4-5D6E-409C-BE32-E72D297353CC}">
                <c16:uniqueId val="{00000003-71F0-438D-B53F-C1A8A57D1AB6}"/>
              </c:ext>
            </c:extLst>
          </c:dPt>
          <c:dPt>
            <c:idx val="2"/>
            <c:bubble3D val="0"/>
            <c:spPr>
              <a:solidFill>
                <a:srgbClr val="7030A0"/>
              </a:solidFill>
              <a:ln>
                <a:solidFill>
                  <a:schemeClr val="bg1"/>
                </a:solidFill>
              </a:ln>
            </c:spPr>
            <c:extLst>
              <c:ext xmlns:c16="http://schemas.microsoft.com/office/drawing/2014/chart" uri="{C3380CC4-5D6E-409C-BE32-E72D297353CC}">
                <c16:uniqueId val="{00000005-71F0-438D-B53F-C1A8A57D1AB6}"/>
              </c:ext>
            </c:extLst>
          </c:dPt>
          <c:dPt>
            <c:idx val="4"/>
            <c:bubble3D val="0"/>
            <c:spPr>
              <a:solidFill>
                <a:srgbClr val="008000"/>
              </a:solidFill>
              <a:ln>
                <a:solidFill>
                  <a:schemeClr val="bg1"/>
                </a:solidFill>
              </a:ln>
            </c:spPr>
            <c:extLst>
              <c:ext xmlns:c16="http://schemas.microsoft.com/office/drawing/2014/chart" uri="{C3380CC4-5D6E-409C-BE32-E72D297353CC}">
                <c16:uniqueId val="{00000007-71F0-438D-B53F-C1A8A57D1AB6}"/>
              </c:ext>
            </c:extLst>
          </c:dPt>
          <c:dPt>
            <c:idx val="5"/>
            <c:bubble3D val="0"/>
            <c:spPr>
              <a:solidFill>
                <a:schemeClr val="accent2"/>
              </a:solidFill>
              <a:ln>
                <a:solidFill>
                  <a:schemeClr val="bg1"/>
                </a:solidFill>
              </a:ln>
            </c:spPr>
            <c:extLst>
              <c:ext xmlns:c16="http://schemas.microsoft.com/office/drawing/2014/chart" uri="{C3380CC4-5D6E-409C-BE32-E72D297353CC}">
                <c16:uniqueId val="{00000009-71F0-438D-B53F-C1A8A57D1AB6}"/>
              </c:ext>
            </c:extLst>
          </c:dPt>
          <c:dLbls>
            <c:dLbl>
              <c:idx val="0"/>
              <c:spPr>
                <a:noFill/>
                <a:ln>
                  <a:noFill/>
                </a:ln>
                <a:effectLst/>
              </c:spPr>
              <c:txPr>
                <a:bodyPr wrap="square" lIns="38100" tIns="19050" rIns="38100" bIns="19050" anchor="ctr">
                  <a:noAutofit/>
                </a:bodyPr>
                <a:lstStyle/>
                <a:p>
                  <a:pPr>
                    <a:defRPr sz="1100" b="1">
                      <a:solidFill>
                        <a:schemeClr val="bg1"/>
                      </a:solidFill>
                    </a:defRPr>
                  </a:pPr>
                  <a:endParaRPr lang="en-US"/>
                </a:p>
              </c:txPr>
              <c:dLblPos val="inEnd"/>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71F0-438D-B53F-C1A8A57D1AB6}"/>
                </c:ext>
              </c:extLst>
            </c:dLbl>
            <c:dLbl>
              <c:idx val="1"/>
              <c:layout>
                <c:manualLayout>
                  <c:x val="-0.2067046846416925"/>
                  <c:y val="-0.18108554078390393"/>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67676767676763"/>
                      <c:h val="0.23210944405079867"/>
                    </c:manualLayout>
                  </c15:layout>
                </c:ext>
                <c:ext xmlns:c16="http://schemas.microsoft.com/office/drawing/2014/chart" uri="{C3380CC4-5D6E-409C-BE32-E72D297353CC}">
                  <c16:uniqueId val="{00000003-71F0-438D-B53F-C1A8A57D1AB6}"/>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Patents-in-Force'!$D$8:$D$13</c:f>
              <c:numCache>
                <c:formatCode>#,##0</c:formatCode>
                <c:ptCount val="6"/>
                <c:pt idx="0">
                  <c:v>1790613</c:v>
                </c:pt>
                <c:pt idx="1">
                  <c:v>1347998</c:v>
                </c:pt>
                <c:pt idx="2">
                  <c:v>640412</c:v>
                </c:pt>
                <c:pt idx="4">
                  <c:v>2017318</c:v>
                </c:pt>
                <c:pt idx="5">
                  <c:v>1129086</c:v>
                </c:pt>
              </c:numCache>
            </c:numRef>
          </c:val>
          <c:extLst>
            <c:ext xmlns:c16="http://schemas.microsoft.com/office/drawing/2014/chart" uri="{C3380CC4-5D6E-409C-BE32-E72D297353CC}">
              <c16:uniqueId val="{0000000A-71F0-438D-B53F-C1A8A57D1AB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C-71F0-438D-B53F-C1A8A57D1AB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E-71F0-438D-B53F-C1A8A57D1AB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0-71F0-438D-B53F-C1A8A57D1AB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2-71F0-438D-B53F-C1A8A57D1AB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4-71F0-438D-B53F-C1A8A57D1AB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6-71F0-438D-B53F-C1A8A57D1AB6}"/>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7-71F0-438D-B53F-C1A8A57D1AB6}"/>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r>
              <a:rPr lang="en-US" sz="1300" b="1"/>
              <a:t>Fig. 2.2 PATENTS IN FORCE END OF 2020 - JURISDISCTION &amp; ORIGIN</a:t>
            </a:r>
          </a:p>
        </c:rich>
      </c:tx>
      <c:layout>
        <c:manualLayout>
          <c:xMode val="edge"/>
          <c:yMode val="edge"/>
          <c:x val="1.4234136763438919E-2"/>
          <c:y val="2.1108179419525065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22E-2"/>
          <c:y val="0.10508355321020227"/>
          <c:w val="0.85067904203208822"/>
          <c:h val="0.78963761108808772"/>
        </c:manualLayout>
      </c:layout>
      <c:barChart>
        <c:barDir val="col"/>
        <c:grouping val="stacked"/>
        <c:varyColors val="0"/>
        <c:ser>
          <c:idx val="5"/>
          <c:order val="0"/>
          <c:tx>
            <c:strRef>
              <c:f>'Ch2. Patents-in-Force'!$A$101</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Patents-in-Force'!$B$101:$G$101</c:f>
              <c:numCache>
                <c:formatCode>0%</c:formatCode>
                <c:ptCount val="6"/>
                <c:pt idx="0">
                  <c:v>4.3505294441732026E-2</c:v>
                </c:pt>
                <c:pt idx="1">
                  <c:v>1.3330292686754551E-2</c:v>
                </c:pt>
                <c:pt idx="2">
                  <c:v>1.1793336682711465E-2</c:v>
                </c:pt>
                <c:pt idx="3">
                  <c:v>1.0270308099432149E-2</c:v>
                </c:pt>
                <c:pt idx="4">
                  <c:v>9.978566567129768E-2</c:v>
                </c:pt>
                <c:pt idx="5">
                  <c:v>0.27984791797220154</c:v>
                </c:pt>
              </c:numCache>
            </c:numRef>
          </c:val>
          <c:extLst>
            <c:ext xmlns:c16="http://schemas.microsoft.com/office/drawing/2014/chart" uri="{C3380CC4-5D6E-409C-BE32-E72D297353CC}">
              <c16:uniqueId val="{00000005-EA48-41B6-925B-3C60E22E9B96}"/>
            </c:ext>
          </c:extLst>
        </c:ser>
        <c:ser>
          <c:idx val="4"/>
          <c:order val="1"/>
          <c:tx>
            <c:strRef>
              <c:f>'Ch2. Patents-in-Force'!$A$100</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Patents-in-Force'!$B$100:$G$100</c:f>
              <c:numCache>
                <c:formatCode>0%</c:formatCode>
                <c:ptCount val="6"/>
                <c:pt idx="0">
                  <c:v>0.20063196239244266</c:v>
                </c:pt>
                <c:pt idx="1">
                  <c:v>7.1394381669805398E-2</c:v>
                </c:pt>
                <c:pt idx="2">
                  <c:v>6.2007566190489652E-2</c:v>
                </c:pt>
                <c:pt idx="3">
                  <c:v>6.0538405490927594E-2</c:v>
                </c:pt>
                <c:pt idx="4">
                  <c:v>0.48373110762498034</c:v>
                </c:pt>
                <c:pt idx="5">
                  <c:v>0.29152528824069329</c:v>
                </c:pt>
              </c:numCache>
            </c:numRef>
          </c:val>
          <c:extLst>
            <c:ext xmlns:c16="http://schemas.microsoft.com/office/drawing/2014/chart" uri="{C3380CC4-5D6E-409C-BE32-E72D297353CC}">
              <c16:uniqueId val="{00000004-EA48-41B6-925B-3C60E22E9B96}"/>
            </c:ext>
          </c:extLst>
        </c:ser>
        <c:ser>
          <c:idx val="3"/>
          <c:order val="2"/>
          <c:tx>
            <c:strRef>
              <c:f>'Ch2. Patents-in-Force'!$A$99</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Patents-in-Force'!$B$99:$G$99</c:f>
              <c:numCache>
                <c:formatCode>0%</c:formatCode>
                <c:ptCount val="6"/>
                <c:pt idx="0">
                  <c:v>2.6386263566447035E-2</c:v>
                </c:pt>
                <c:pt idx="1">
                  <c:v>1.0614308694287507E-2</c:v>
                </c:pt>
                <c:pt idx="2">
                  <c:v>1.0039928112984068E-2</c:v>
                </c:pt>
                <c:pt idx="3">
                  <c:v>0.74533658355364107</c:v>
                </c:pt>
                <c:pt idx="4">
                  <c:v>3.1354869498555628E-2</c:v>
                </c:pt>
                <c:pt idx="5">
                  <c:v>2.4244764418458253E-2</c:v>
                </c:pt>
              </c:numCache>
            </c:numRef>
          </c:val>
          <c:extLst>
            <c:ext xmlns:c16="http://schemas.microsoft.com/office/drawing/2014/chart" uri="{C3380CC4-5D6E-409C-BE32-E72D297353CC}">
              <c16:uniqueId val="{00000003-EA48-41B6-925B-3C60E22E9B96}"/>
            </c:ext>
          </c:extLst>
        </c:ser>
        <c:ser>
          <c:idx val="2"/>
          <c:order val="3"/>
          <c:tx>
            <c:strRef>
              <c:f>'Ch2. Patents-in-Force'!$A$98</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Patents-in-Force'!$B$98:$G$98</c:f>
              <c:numCache>
                <c:formatCode>0%</c:formatCode>
                <c:ptCount val="6"/>
                <c:pt idx="0">
                  <c:v>2.7488712357728675E-2</c:v>
                </c:pt>
                <c:pt idx="1">
                  <c:v>1.9707313245448839E-2</c:v>
                </c:pt>
                <c:pt idx="2">
                  <c:v>0.76040579144559095</c:v>
                </c:pt>
                <c:pt idx="3">
                  <c:v>2.1541975326406448E-2</c:v>
                </c:pt>
                <c:pt idx="4">
                  <c:v>5.7545646462736973E-2</c:v>
                </c:pt>
                <c:pt idx="5">
                  <c:v>1.9367119505869019E-2</c:v>
                </c:pt>
              </c:numCache>
            </c:numRef>
          </c:val>
          <c:extLst>
            <c:ext xmlns:c16="http://schemas.microsoft.com/office/drawing/2014/chart" uri="{C3380CC4-5D6E-409C-BE32-E72D297353CC}">
              <c16:uniqueId val="{00000002-EA48-41B6-925B-3C60E22E9B96}"/>
            </c:ext>
          </c:extLst>
        </c:ser>
        <c:ser>
          <c:idx val="1"/>
          <c:order val="4"/>
          <c:tx>
            <c:strRef>
              <c:f>'Ch2. Patents-in-Force'!$A$97</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Patents-in-Force'!$B$97:$G$97</c:f>
              <c:numCache>
                <c:formatCode>0%</c:formatCode>
                <c:ptCount val="6"/>
                <c:pt idx="0">
                  <c:v>8.6166255324676491E-2</c:v>
                </c:pt>
                <c:pt idx="1">
                  <c:v>0.81744791666666672</c:v>
                </c:pt>
                <c:pt idx="2">
                  <c:v>0.10213171809420993</c:v>
                </c:pt>
                <c:pt idx="3">
                  <c:v>9.368496234601896E-2</c:v>
                </c:pt>
                <c:pt idx="4">
                  <c:v>0.17166217660587241</c:v>
                </c:pt>
                <c:pt idx="5">
                  <c:v>9.6148273553514921E-2</c:v>
                </c:pt>
              </c:numCache>
            </c:numRef>
          </c:val>
          <c:extLst>
            <c:ext xmlns:c16="http://schemas.microsoft.com/office/drawing/2014/chart" uri="{C3380CC4-5D6E-409C-BE32-E72D297353CC}">
              <c16:uniqueId val="{00000001-EA48-41B6-925B-3C60E22E9B96}"/>
            </c:ext>
          </c:extLst>
        </c:ser>
        <c:ser>
          <c:idx val="0"/>
          <c:order val="5"/>
          <c:tx>
            <c:strRef>
              <c:f>'Ch2. Patents-in-Force'!$A$96</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Patents-in-Force'!$B$96:$G$96</c:f>
              <c:numCache>
                <c:formatCode>0%</c:formatCode>
                <c:ptCount val="6"/>
                <c:pt idx="0">
                  <c:v>0.6158215119169731</c:v>
                </c:pt>
                <c:pt idx="1">
                  <c:v>6.7505787037037038E-2</c:v>
                </c:pt>
                <c:pt idx="2">
                  <c:v>6.3621659474013895E-2</c:v>
                </c:pt>
                <c:pt idx="3">
                  <c:v>6.8627765183573788E-2</c:v>
                </c:pt>
                <c:pt idx="4">
                  <c:v>0.15592053413655699</c:v>
                </c:pt>
                <c:pt idx="5">
                  <c:v>0.28886663630926296</c:v>
                </c:pt>
              </c:numCache>
            </c:numRef>
          </c:val>
          <c:extLst>
            <c:ext xmlns:c16="http://schemas.microsoft.com/office/drawing/2014/chart" uri="{C3380CC4-5D6E-409C-BE32-E72D297353CC}">
              <c16:uniqueId val="{00000000-EA48-41B6-925B-3C60E22E9B96}"/>
            </c:ext>
          </c:extLst>
        </c:ser>
        <c:ser>
          <c:idx val="6"/>
          <c:order val="6"/>
          <c:spPr>
            <a:noFill/>
            <a:ln>
              <a:noFill/>
            </a:ln>
            <a:effectLst/>
          </c:spPr>
          <c:invertIfNegative val="0"/>
          <c:dLbls>
            <c:dLbl>
              <c:idx val="0"/>
              <c:tx>
                <c:rich>
                  <a:bodyPr/>
                  <a:lstStyle/>
                  <a:p>
                    <a:r>
                      <a:rPr lang="en-US"/>
                      <a:t>4,852,303</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3A-4964-BBAA-6EB8873C9357}"/>
                </c:ext>
              </c:extLst>
            </c:dLbl>
            <c:dLbl>
              <c:idx val="1"/>
              <c:tx>
                <c:rich>
                  <a:bodyPr/>
                  <a:lstStyle/>
                  <a:p>
                    <a:r>
                      <a:rPr lang="en-US"/>
                      <a:t>2,039,040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3A-4964-BBAA-6EB8873C9357}"/>
                </c:ext>
              </c:extLst>
            </c:dLbl>
            <c:dLbl>
              <c:idx val="2"/>
              <c:tx>
                <c:rich>
                  <a:bodyPr/>
                  <a:lstStyle/>
                  <a:p>
                    <a:r>
                      <a:rPr lang="en-US"/>
                      <a:t>1,096,721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3A-4964-BBAA-6EB8873C9357}"/>
                </c:ext>
              </c:extLst>
            </c:dLbl>
            <c:dLbl>
              <c:idx val="3"/>
              <c:tx>
                <c:rich>
                  <a:bodyPr/>
                  <a:lstStyle/>
                  <a:p>
                    <a:r>
                      <a:rPr lang="en-US"/>
                      <a:t>3,057,844</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3A-4964-BBAA-6EB8873C9357}"/>
                </c:ext>
              </c:extLst>
            </c:dLbl>
            <c:dLbl>
              <c:idx val="4"/>
              <c:tx>
                <c:rich>
                  <a:bodyPr/>
                  <a:lstStyle/>
                  <a:p>
                    <a:r>
                      <a:rPr lang="en-US"/>
                      <a:t>3,348,531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3A-4964-BBAA-6EB8873C9357}"/>
                </c:ext>
              </c:extLst>
            </c:dLbl>
            <c:dLbl>
              <c:idx val="5"/>
              <c:tx>
                <c:rich>
                  <a:bodyPr/>
                  <a:lstStyle/>
                  <a:p>
                    <a:r>
                      <a:rPr lang="en-US"/>
                      <a:t>1,447,062</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3A-4964-BBAA-6EB8873C935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Patents-in-Force'!$B$95:$G$95</c:f>
              <c:strCache>
                <c:ptCount val="6"/>
                <c:pt idx="0">
                  <c:v>EPC States</c:v>
                </c:pt>
                <c:pt idx="1">
                  <c:v>Japan</c:v>
                </c:pt>
                <c:pt idx="2">
                  <c:v>R. Korea</c:v>
                </c:pt>
                <c:pt idx="3">
                  <c:v>P.R. China</c:v>
                </c:pt>
                <c:pt idx="4">
                  <c:v>U.S.</c:v>
                </c:pt>
                <c:pt idx="5">
                  <c:v>Others</c:v>
                </c:pt>
              </c:strCache>
            </c:strRef>
          </c:cat>
          <c:val>
            <c:numRef>
              <c:f>'Ch2. Patents-in-Force'!$B$102:$G$102</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8-EA48-41B6-925B-3C60E22E9B96}"/>
            </c:ext>
          </c:extLst>
        </c:ser>
        <c:dLbls>
          <c:showLegendKey val="0"/>
          <c:showVal val="0"/>
          <c:showCatName val="0"/>
          <c:showSerName val="0"/>
          <c:showPercent val="0"/>
          <c:showBubbleSize val="0"/>
        </c:dLbls>
        <c:gapWidth val="30"/>
        <c:overlap val="100"/>
        <c:axId val="437726376"/>
        <c:axId val="437724736"/>
      </c:barChart>
      <c:catAx>
        <c:axId val="43772637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7724736"/>
        <c:crosses val="autoZero"/>
        <c:auto val="1"/>
        <c:lblAlgn val="ctr"/>
        <c:lblOffset val="100"/>
        <c:noMultiLvlLbl val="0"/>
      </c:catAx>
      <c:valAx>
        <c:axId val="437724736"/>
        <c:scaling>
          <c:orientation val="minMax"/>
          <c:max val="1.1000000000000001"/>
          <c:min val="0"/>
        </c:scaling>
        <c:delete val="1"/>
        <c:axPos val="l"/>
        <c:numFmt formatCode="0%" sourceLinked="1"/>
        <c:majorTickMark val="out"/>
        <c:minorTickMark val="none"/>
        <c:tickLblPos val="nextTo"/>
        <c:crossAx val="437726376"/>
        <c:crosses val="autoZero"/>
        <c:crossBetween val="between"/>
      </c:valAx>
      <c:spPr>
        <a:noFill/>
        <a:ln>
          <a:noFill/>
        </a:ln>
        <a:effectLst/>
      </c:spPr>
    </c:plotArea>
    <c:legend>
      <c:legendPos val="r"/>
      <c:legendEntry>
        <c:idx val="0"/>
        <c:delete val="1"/>
      </c:legendEntry>
      <c:layout>
        <c:manualLayout>
          <c:xMode val="edge"/>
          <c:yMode val="edge"/>
          <c:x val="0.85997794323316834"/>
          <c:y val="0.33600457837507153"/>
          <c:w val="0.13615030916819162"/>
          <c:h val="0.411098612673415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r>
              <a:rPr lang="en-US" sz="1300" b="1"/>
              <a:t>Fig. 2.2 PATENTS IN FORCE END OF 2019 - JURISDISCTION &amp; ORIGIN</a:t>
            </a:r>
          </a:p>
        </c:rich>
      </c:tx>
      <c:layout>
        <c:manualLayout>
          <c:xMode val="edge"/>
          <c:yMode val="edge"/>
          <c:x val="1.4234136763438919E-2"/>
          <c:y val="2.1108179419525065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22E-2"/>
          <c:y val="0.10508355321020227"/>
          <c:w val="0.84912827095834298"/>
          <c:h val="0.79297929864030137"/>
        </c:manualLayout>
      </c:layout>
      <c:barChart>
        <c:barDir val="col"/>
        <c:grouping val="stacked"/>
        <c:varyColors val="0"/>
        <c:ser>
          <c:idx val="5"/>
          <c:order val="0"/>
          <c:tx>
            <c:strRef>
              <c:f>'Ch2. Patents-in-Force'!$A$123</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Patents-in-Force'!$B$123:$G$123</c:f>
              <c:numCache>
                <c:formatCode>0%</c:formatCode>
                <c:ptCount val="6"/>
                <c:pt idx="0">
                  <c:v>0.08</c:v>
                </c:pt>
                <c:pt idx="1">
                  <c:v>1.2797735407003042E-2</c:v>
                </c:pt>
                <c:pt idx="2">
                  <c:v>1.1155647618166188E-2</c:v>
                </c:pt>
                <c:pt idx="3">
                  <c:v>1.0432517193453308E-2</c:v>
                </c:pt>
                <c:pt idx="4">
                  <c:v>9.7829200552974727E-2</c:v>
                </c:pt>
                <c:pt idx="5">
                  <c:v>0.35</c:v>
                </c:pt>
              </c:numCache>
            </c:numRef>
          </c:val>
          <c:extLst>
            <c:ext xmlns:c16="http://schemas.microsoft.com/office/drawing/2014/chart" uri="{C3380CC4-5D6E-409C-BE32-E72D297353CC}">
              <c16:uniqueId val="{00000005-6603-419F-8161-B728EF92978C}"/>
            </c:ext>
          </c:extLst>
        </c:ser>
        <c:ser>
          <c:idx val="4"/>
          <c:order val="1"/>
          <c:tx>
            <c:strRef>
              <c:f>'Ch2. Patents-in-Force'!$A$122</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Patents-in-Force'!$B$122:$G$122</c:f>
              <c:numCache>
                <c:formatCode>0%</c:formatCode>
                <c:ptCount val="6"/>
                <c:pt idx="0">
                  <c:v>0.17</c:v>
                </c:pt>
                <c:pt idx="1">
                  <c:v>7.1207700161499285E-2</c:v>
                </c:pt>
                <c:pt idx="2">
                  <c:v>6.3075397942330677E-2</c:v>
                </c:pt>
                <c:pt idx="3">
                  <c:v>6.6628750209676263E-2</c:v>
                </c:pt>
                <c:pt idx="4">
                  <c:v>0.49051279177193019</c:v>
                </c:pt>
                <c:pt idx="5">
                  <c:v>0.3</c:v>
                </c:pt>
              </c:numCache>
            </c:numRef>
          </c:val>
          <c:extLst>
            <c:ext xmlns:c16="http://schemas.microsoft.com/office/drawing/2014/chart" uri="{C3380CC4-5D6E-409C-BE32-E72D297353CC}">
              <c16:uniqueId val="{00000004-6603-419F-8161-B728EF92978C}"/>
            </c:ext>
          </c:extLst>
        </c:ser>
        <c:ser>
          <c:idx val="2"/>
          <c:order val="2"/>
          <c:tx>
            <c:strRef>
              <c:f>'Ch2. Patents-in-Force'!$A$120</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Patents-in-Force'!$B$120:$G$120</c:f>
              <c:numCache>
                <c:formatCode>0%</c:formatCode>
                <c:ptCount val="6"/>
                <c:pt idx="0">
                  <c:v>0.02</c:v>
                </c:pt>
                <c:pt idx="1">
                  <c:v>1.9074151885286328E-2</c:v>
                </c:pt>
                <c:pt idx="2">
                  <c:v>0.7551320081787728</c:v>
                </c:pt>
                <c:pt idx="3">
                  <c:v>2.2703071457669359E-2</c:v>
                </c:pt>
                <c:pt idx="4">
                  <c:v>5.5722199495629308E-2</c:v>
                </c:pt>
                <c:pt idx="5">
                  <c:v>0.01</c:v>
                </c:pt>
              </c:numCache>
            </c:numRef>
          </c:val>
          <c:extLst>
            <c:ext xmlns:c16="http://schemas.microsoft.com/office/drawing/2014/chart" uri="{C3380CC4-5D6E-409C-BE32-E72D297353CC}">
              <c16:uniqueId val="{00000002-6603-419F-8161-B728EF92978C}"/>
            </c:ext>
          </c:extLst>
        </c:ser>
        <c:ser>
          <c:idx val="3"/>
          <c:order val="3"/>
          <c:tx>
            <c:strRef>
              <c:f>'Ch2. Patents-in-Force'!$A$121</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Patents-in-Force'!$B$121:$G$121</c:f>
              <c:numCache>
                <c:formatCode>0%</c:formatCode>
                <c:ptCount val="6"/>
                <c:pt idx="0">
                  <c:v>0.02</c:v>
                </c:pt>
                <c:pt idx="1">
                  <c:v>8.6509477919585326E-3</c:v>
                </c:pt>
                <c:pt idx="2">
                  <c:v>8.8695604052747932E-3</c:v>
                </c:pt>
                <c:pt idx="3">
                  <c:v>0.72118224461431546</c:v>
                </c:pt>
                <c:pt idx="4">
                  <c:v>2.6927978841595222E-2</c:v>
                </c:pt>
                <c:pt idx="5">
                  <c:v>2.033944205228197E-2</c:v>
                </c:pt>
              </c:numCache>
            </c:numRef>
          </c:val>
          <c:extLst>
            <c:ext xmlns:c16="http://schemas.microsoft.com/office/drawing/2014/chart" uri="{C3380CC4-5D6E-409C-BE32-E72D297353CC}">
              <c16:uniqueId val="{00000003-6603-419F-8161-B728EF92978C}"/>
            </c:ext>
          </c:extLst>
        </c:ser>
        <c:ser>
          <c:idx val="1"/>
          <c:order val="4"/>
          <c:tx>
            <c:strRef>
              <c:f>'Ch2. Patents-in-Force'!$A$119</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Patents-in-Force'!$B$119:$G$119</c:f>
              <c:numCache>
                <c:formatCode>0%</c:formatCode>
                <c:ptCount val="6"/>
                <c:pt idx="0">
                  <c:v>0.08</c:v>
                </c:pt>
                <c:pt idx="1">
                  <c:v>0.82064133281464002</c:v>
                </c:pt>
                <c:pt idx="2">
                  <c:v>0.10694709082044387</c:v>
                </c:pt>
                <c:pt idx="3">
                  <c:v>0.10361976108887877</c:v>
                </c:pt>
                <c:pt idx="4">
                  <c:v>0.17448754194174093</c:v>
                </c:pt>
                <c:pt idx="5">
                  <c:v>8.428175160455427E-2</c:v>
                </c:pt>
              </c:numCache>
            </c:numRef>
          </c:val>
          <c:extLst>
            <c:ext xmlns:c16="http://schemas.microsoft.com/office/drawing/2014/chart" uri="{C3380CC4-5D6E-409C-BE32-E72D297353CC}">
              <c16:uniqueId val="{00000001-6603-419F-8161-B728EF92978C}"/>
            </c:ext>
          </c:extLst>
        </c:ser>
        <c:ser>
          <c:idx val="0"/>
          <c:order val="5"/>
          <c:tx>
            <c:strRef>
              <c:f>'Ch2. Patents-in-Force'!$A$118</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Patents-in-Force'!$B$118:$G$118</c:f>
              <c:numCache>
                <c:formatCode>0%</c:formatCode>
                <c:ptCount val="6"/>
                <c:pt idx="0">
                  <c:v>0.62</c:v>
                </c:pt>
                <c:pt idx="1">
                  <c:v>6.7628131939612798E-2</c:v>
                </c:pt>
                <c:pt idx="2">
                  <c:v>5.4820295035011672E-2</c:v>
                </c:pt>
                <c:pt idx="3">
                  <c:v>7.5433655436006802E-2</c:v>
                </c:pt>
                <c:pt idx="4">
                  <c:v>0.15452028739612964</c:v>
                </c:pt>
                <c:pt idx="5">
                  <c:v>0.24</c:v>
                </c:pt>
              </c:numCache>
            </c:numRef>
          </c:val>
          <c:extLst>
            <c:ext xmlns:c16="http://schemas.microsoft.com/office/drawing/2014/chart" uri="{C3380CC4-5D6E-409C-BE32-E72D297353CC}">
              <c16:uniqueId val="{00000000-6603-419F-8161-B728EF92978C}"/>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Patents-in-Force'!$B$117:$G$117</c:f>
              <c:strCache>
                <c:ptCount val="6"/>
                <c:pt idx="0">
                  <c:v>EPC States</c:v>
                </c:pt>
                <c:pt idx="1">
                  <c:v>Japan</c:v>
                </c:pt>
                <c:pt idx="2">
                  <c:v>R. Korea</c:v>
                </c:pt>
                <c:pt idx="3">
                  <c:v>P.R. China</c:v>
                </c:pt>
                <c:pt idx="4">
                  <c:v>U.S.</c:v>
                </c:pt>
                <c:pt idx="5">
                  <c:v>Others</c:v>
                </c:pt>
              </c:strCache>
            </c:strRef>
          </c:cat>
          <c:val>
            <c:numRef>
              <c:f>'Ch2. Patents-in-Force'!$B$124:$G$124</c:f>
              <c:numCache>
                <c:formatCode>#,##0</c:formatCode>
                <c:ptCount val="6"/>
                <c:pt idx="0">
                  <c:v>4631346</c:v>
                </c:pt>
                <c:pt idx="1">
                  <c:v>2053879</c:v>
                </c:pt>
                <c:pt idx="2">
                  <c:v>1048079</c:v>
                </c:pt>
                <c:pt idx="3">
                  <c:v>2670784</c:v>
                </c:pt>
                <c:pt idx="4">
                  <c:v>3131427</c:v>
                </c:pt>
                <c:pt idx="5">
                  <c:v>1340117</c:v>
                </c:pt>
              </c:numCache>
            </c:numRef>
          </c:val>
          <c:extLst>
            <c:ext xmlns:c16="http://schemas.microsoft.com/office/drawing/2014/chart" uri="{C3380CC4-5D6E-409C-BE32-E72D297353CC}">
              <c16:uniqueId val="{00000006-6603-419F-8161-B728EF92978C}"/>
            </c:ext>
          </c:extLst>
        </c:ser>
        <c:dLbls>
          <c:showLegendKey val="0"/>
          <c:showVal val="0"/>
          <c:showCatName val="0"/>
          <c:showSerName val="0"/>
          <c:showPercent val="0"/>
          <c:showBubbleSize val="0"/>
        </c:dLbls>
        <c:gapWidth val="30"/>
        <c:overlap val="100"/>
        <c:axId val="437726376"/>
        <c:axId val="437724736"/>
      </c:barChart>
      <c:catAx>
        <c:axId val="43772637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7724736"/>
        <c:crosses val="autoZero"/>
        <c:auto val="1"/>
        <c:lblAlgn val="ctr"/>
        <c:lblOffset val="100"/>
        <c:noMultiLvlLbl val="0"/>
      </c:catAx>
      <c:valAx>
        <c:axId val="437724736"/>
        <c:scaling>
          <c:orientation val="minMax"/>
          <c:max val="1.1000000000000001"/>
          <c:min val="0"/>
        </c:scaling>
        <c:delete val="1"/>
        <c:axPos val="l"/>
        <c:numFmt formatCode="0%" sourceLinked="1"/>
        <c:majorTickMark val="out"/>
        <c:minorTickMark val="none"/>
        <c:tickLblPos val="nextTo"/>
        <c:crossAx val="437726376"/>
        <c:crosses val="autoZero"/>
        <c:crossBetween val="between"/>
      </c:valAx>
      <c:spPr>
        <a:noFill/>
        <a:ln>
          <a:noFill/>
        </a:ln>
        <a:effectLst/>
      </c:spPr>
    </c:plotArea>
    <c:legend>
      <c:legendPos val="r"/>
      <c:legendEntry>
        <c:idx val="0"/>
        <c:delete val="1"/>
      </c:legendEntry>
      <c:layout>
        <c:manualLayout>
          <c:xMode val="edge"/>
          <c:yMode val="edge"/>
          <c:x val="0.85855544734966793"/>
          <c:y val="0.33600457837507153"/>
          <c:w val="0.13565793398576828"/>
          <c:h val="0.411098612673415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2021</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1627-4718-8393-78F19C369F6E}"/>
              </c:ext>
            </c:extLst>
          </c:dPt>
          <c:dPt>
            <c:idx val="1"/>
            <c:bubble3D val="0"/>
            <c:spPr>
              <a:solidFill>
                <a:srgbClr val="FF0000"/>
              </a:solidFill>
            </c:spPr>
            <c:extLst>
              <c:ext xmlns:c16="http://schemas.microsoft.com/office/drawing/2014/chart" uri="{C3380CC4-5D6E-409C-BE32-E72D297353CC}">
                <c16:uniqueId val="{00000003-1627-4718-8393-78F19C369F6E}"/>
              </c:ext>
            </c:extLst>
          </c:dPt>
          <c:dPt>
            <c:idx val="2"/>
            <c:bubble3D val="0"/>
            <c:spPr>
              <a:solidFill>
                <a:srgbClr val="7030A0"/>
              </a:solidFill>
            </c:spPr>
            <c:extLst>
              <c:ext xmlns:c16="http://schemas.microsoft.com/office/drawing/2014/chart" uri="{C3380CC4-5D6E-409C-BE32-E72D297353CC}">
                <c16:uniqueId val="{00000005-1627-4718-8393-78F19C369F6E}"/>
              </c:ext>
            </c:extLst>
          </c:dPt>
          <c:dPt>
            <c:idx val="3"/>
            <c:bubble3D val="0"/>
            <c:spPr>
              <a:solidFill>
                <a:srgbClr val="FFC000"/>
              </a:solidFill>
            </c:spPr>
            <c:extLst>
              <c:ext xmlns:c16="http://schemas.microsoft.com/office/drawing/2014/chart" uri="{C3380CC4-5D6E-409C-BE32-E72D297353CC}">
                <c16:uniqueId val="{00000007-1627-4718-8393-78F19C369F6E}"/>
              </c:ext>
            </c:extLst>
          </c:dPt>
          <c:dPt>
            <c:idx val="4"/>
            <c:bubble3D val="0"/>
            <c:spPr>
              <a:solidFill>
                <a:srgbClr val="008000"/>
              </a:solidFill>
            </c:spPr>
            <c:extLst>
              <c:ext xmlns:c16="http://schemas.microsoft.com/office/drawing/2014/chart" uri="{C3380CC4-5D6E-409C-BE32-E72D297353CC}">
                <c16:uniqueId val="{00000009-1627-4718-8393-78F19C369F6E}"/>
              </c:ext>
            </c:extLst>
          </c:dPt>
          <c:dPt>
            <c:idx val="5"/>
            <c:bubble3D val="0"/>
            <c:spPr>
              <a:solidFill>
                <a:schemeClr val="accent2"/>
              </a:solidFill>
            </c:spPr>
            <c:extLst>
              <c:ext xmlns:c16="http://schemas.microsoft.com/office/drawing/2014/chart" uri="{C3380CC4-5D6E-409C-BE32-E72D297353CC}">
                <c16:uniqueId val="{0000000B-1627-4718-8393-78F19C369F6E}"/>
              </c:ext>
            </c:extLst>
          </c:dPt>
          <c:dLbls>
            <c:dLbl>
              <c:idx val="0"/>
              <c:layout>
                <c:manualLayout>
                  <c:x val="-0.23799538694026889"/>
                  <c:y val="0.22499884806250559"/>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3886868686868687"/>
                      <c:h val="0.28706765691402547"/>
                    </c:manualLayout>
                  </c15:layout>
                </c:ext>
                <c:ext xmlns:c16="http://schemas.microsoft.com/office/drawing/2014/chart" uri="{C3380CC4-5D6E-409C-BE32-E72D297353CC}">
                  <c16:uniqueId val="{00000001-1627-4718-8393-78F19C369F6E}"/>
                </c:ext>
              </c:extLst>
            </c:dLbl>
            <c:dLbl>
              <c:idx val="1"/>
              <c:showLegendKey val="0"/>
              <c:showVal val="1"/>
              <c:showCatName val="1"/>
              <c:showSerName val="0"/>
              <c:showPercent val="1"/>
              <c:showBubbleSize val="0"/>
              <c:separator>
</c:separator>
              <c:extLst>
                <c:ext xmlns:c15="http://schemas.microsoft.com/office/drawing/2012/chart" uri="{CE6537A1-D6FC-4f65-9D91-7224C49458BB}">
                  <c15:layout>
                    <c:manualLayout>
                      <c:w val="0.21414141414141413"/>
                      <c:h val="0.17801059266942423"/>
                    </c:manualLayout>
                  </c15:layout>
                </c:ext>
                <c:ext xmlns:c16="http://schemas.microsoft.com/office/drawing/2014/chart" uri="{C3380CC4-5D6E-409C-BE32-E72D297353CC}">
                  <c16:uniqueId val="{00000003-1627-4718-8393-78F19C369F6E}"/>
                </c:ext>
              </c:extLst>
            </c:dLbl>
            <c:dLbl>
              <c:idx val="2"/>
              <c:layout>
                <c:manualLayout>
                  <c:x val="-0.11975916646782796"/>
                  <c:y val="-1.5949259328357609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0654545454545453"/>
                      <c:h val="0.23210944405079867"/>
                    </c:manualLayout>
                  </c15:layout>
                </c:ext>
                <c:ext xmlns:c16="http://schemas.microsoft.com/office/drawing/2014/chart" uri="{C3380CC4-5D6E-409C-BE32-E72D297353CC}">
                  <c16:uniqueId val="{00000005-1627-4718-8393-78F19C369F6E}"/>
                </c:ext>
              </c:extLst>
            </c:dLbl>
            <c:dLbl>
              <c:idx val="3"/>
              <c:layout>
                <c:manualLayout>
                  <c:x val="0.19057679153742146"/>
                  <c:y val="-0.10319491072403858"/>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674747474747475"/>
                      <c:h val="0.28706765691402547"/>
                    </c:manualLayout>
                  </c15:layout>
                </c:ext>
                <c:ext xmlns:c16="http://schemas.microsoft.com/office/drawing/2014/chart" uri="{C3380CC4-5D6E-409C-BE32-E72D297353CC}">
                  <c16:uniqueId val="{00000007-1627-4718-8393-78F19C369F6E}"/>
                </c:ext>
              </c:extLst>
            </c:dLbl>
            <c:dLbl>
              <c:idx val="4"/>
              <c:spPr>
                <a:noFill/>
                <a:ln>
                  <a:noFill/>
                </a:ln>
                <a:effectLst/>
              </c:spPr>
              <c:txPr>
                <a:bodyPr wrap="square" lIns="38100" tIns="19050" rIns="38100" bIns="19050" anchor="ctr">
                  <a:noAutofit/>
                </a:bodyPr>
                <a:lstStyle/>
                <a:p>
                  <a:pPr>
                    <a:defRPr sz="1100" b="1">
                      <a:solidFill>
                        <a:schemeClr val="bg1"/>
                      </a:solidFill>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26666666666666666"/>
                      <c:h val="0.21995561737888625"/>
                    </c:manualLayout>
                  </c15:layout>
                </c:ext>
                <c:ext xmlns:c16="http://schemas.microsoft.com/office/drawing/2014/chart" uri="{C3380CC4-5D6E-409C-BE32-E72D297353CC}">
                  <c16:uniqueId val="{00000009-1627-4718-8393-78F19C369F6E}"/>
                </c:ext>
              </c:extLst>
            </c:dLbl>
            <c:dLbl>
              <c:idx val="5"/>
              <c:layout>
                <c:manualLayout>
                  <c:x val="0.12524473077228981"/>
                  <c:y val="0.1278811728947013"/>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1058585858585854"/>
                      <c:h val="0.23210944405079867"/>
                    </c:manualLayout>
                  </c15:layout>
                </c:ext>
                <c:ext xmlns:c16="http://schemas.microsoft.com/office/drawing/2014/chart" uri="{C3380CC4-5D6E-409C-BE32-E72D297353CC}">
                  <c16:uniqueId val="{0000000B-1627-4718-8393-78F19C369F6E}"/>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Patents-in-Force'!$AB$8:$AB$13</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C-1627-4718-8393-78F19C369F6E}"/>
            </c:ext>
          </c:extLst>
        </c:ser>
        <c:ser>
          <c:idx val="1"/>
          <c:order val="1"/>
          <c:cat>
            <c:strRef>
              <c:f>'Ch2. Patents-in-Force'!$A$8:$A$13</c:f>
              <c:strCache>
                <c:ptCount val="6"/>
                <c:pt idx="0">
                  <c:v>EPC States</c:v>
                </c:pt>
                <c:pt idx="1">
                  <c:v>Japan</c:v>
                </c:pt>
                <c:pt idx="2">
                  <c:v>R. Korea</c:v>
                </c:pt>
                <c:pt idx="3">
                  <c:v>P.R. China</c:v>
                </c:pt>
                <c:pt idx="4">
                  <c:v>U.S.</c:v>
                </c:pt>
                <c:pt idx="5">
                  <c:v>Others</c:v>
                </c:pt>
              </c:strCache>
            </c:strRef>
          </c:cat>
          <c:val>
            <c:numRef>
              <c:f>'Ch2. Patents-in-Force'!$AC$8:$AC$13</c:f>
              <c:numCache>
                <c:formatCode>0%</c:formatCode>
                <c:ptCount val="6"/>
                <c:pt idx="0">
                  <c:v>0.3</c:v>
                </c:pt>
                <c:pt idx="1">
                  <c:v>0.12</c:v>
                </c:pt>
                <c:pt idx="2">
                  <c:v>7.0000000000000007E-2</c:v>
                </c:pt>
                <c:pt idx="3">
                  <c:v>0.22</c:v>
                </c:pt>
                <c:pt idx="4">
                  <c:v>0.2</c:v>
                </c:pt>
                <c:pt idx="5">
                  <c:v>0.09</c:v>
                </c:pt>
              </c:numCache>
            </c:numRef>
          </c:val>
          <c:extLst>
            <c:ext xmlns:c16="http://schemas.microsoft.com/office/drawing/2014/chart" uri="{C3380CC4-5D6E-409C-BE32-E72D297353CC}">
              <c16:uniqueId val="{00000019-1627-4718-8393-78F19C369F6E}"/>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r>
              <a:rPr lang="en-US" sz="1300" b="1"/>
              <a:t>Fig. 2.2 PATENTS IN FORCE END OF 2021 - JURISDISCTION &amp; ORIGIN</a:t>
            </a:r>
          </a:p>
        </c:rich>
      </c:tx>
      <c:layout>
        <c:manualLayout>
          <c:xMode val="edge"/>
          <c:yMode val="edge"/>
          <c:x val="1.4234136763438919E-2"/>
          <c:y val="2.1108179419525065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22E-2"/>
          <c:y val="0.10508355321020227"/>
          <c:w val="0.85067904203208822"/>
          <c:h val="0.78963761108808772"/>
        </c:manualLayout>
      </c:layout>
      <c:barChart>
        <c:barDir val="col"/>
        <c:grouping val="stacked"/>
        <c:varyColors val="0"/>
        <c:ser>
          <c:idx val="5"/>
          <c:order val="0"/>
          <c:tx>
            <c:strRef>
              <c:f>'Ch2. Patents-in-Force'!$A$78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Patents-in-Force'!$B$78:$G$78</c:f>
              <c:numCache>
                <c:formatCode>0%</c:formatCode>
                <c:ptCount val="6"/>
                <c:pt idx="0">
                  <c:v>0.05</c:v>
                </c:pt>
                <c:pt idx="1">
                  <c:v>1.3330292686754551E-2</c:v>
                </c:pt>
                <c:pt idx="2">
                  <c:v>1.1793336682711465E-2</c:v>
                </c:pt>
                <c:pt idx="3">
                  <c:v>1.0270308099432149E-2</c:v>
                </c:pt>
                <c:pt idx="4">
                  <c:v>9.978566567129768E-2</c:v>
                </c:pt>
                <c:pt idx="5">
                  <c:v>0.18</c:v>
                </c:pt>
              </c:numCache>
            </c:numRef>
          </c:val>
          <c:extLst>
            <c:ext xmlns:c16="http://schemas.microsoft.com/office/drawing/2014/chart" uri="{C3380CC4-5D6E-409C-BE32-E72D297353CC}">
              <c16:uniqueId val="{00000000-91AF-4BEC-96F1-7AC6F408749A}"/>
            </c:ext>
          </c:extLst>
        </c:ser>
        <c:ser>
          <c:idx val="4"/>
          <c:order val="1"/>
          <c:tx>
            <c:strRef>
              <c:f>'Ch2. Patents-in-Force'!$A$77</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Patents-in-Force'!$B$77:$G$77</c:f>
              <c:numCache>
                <c:formatCode>0%</c:formatCode>
                <c:ptCount val="6"/>
                <c:pt idx="0">
                  <c:v>0.20063196239244266</c:v>
                </c:pt>
                <c:pt idx="1">
                  <c:v>7.1394381669805398E-2</c:v>
                </c:pt>
                <c:pt idx="2">
                  <c:v>6.2007566190489652E-2</c:v>
                </c:pt>
                <c:pt idx="3">
                  <c:v>0.05</c:v>
                </c:pt>
                <c:pt idx="4">
                  <c:v>0.48373110762498034</c:v>
                </c:pt>
                <c:pt idx="5">
                  <c:v>0.35</c:v>
                </c:pt>
              </c:numCache>
            </c:numRef>
          </c:val>
          <c:extLst>
            <c:ext xmlns:c16="http://schemas.microsoft.com/office/drawing/2014/chart" uri="{C3380CC4-5D6E-409C-BE32-E72D297353CC}">
              <c16:uniqueId val="{00000001-91AF-4BEC-96F1-7AC6F408749A}"/>
            </c:ext>
          </c:extLst>
        </c:ser>
        <c:ser>
          <c:idx val="3"/>
          <c:order val="2"/>
          <c:tx>
            <c:strRef>
              <c:f>'Ch2. Patents-in-Force'!$A$76</c:f>
              <c:strCache>
                <c:ptCount val="1"/>
                <c:pt idx="0">
                  <c:v>P.R. China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Patents-in-Force'!$B$76:$G$76</c:f>
              <c:numCache>
                <c:formatCode>0%</c:formatCode>
                <c:ptCount val="6"/>
                <c:pt idx="0">
                  <c:v>0.03</c:v>
                </c:pt>
                <c:pt idx="1">
                  <c:v>1.0614308694287507E-2</c:v>
                </c:pt>
                <c:pt idx="2">
                  <c:v>1.0039928112984068E-2</c:v>
                </c:pt>
                <c:pt idx="3">
                  <c:v>0.77</c:v>
                </c:pt>
                <c:pt idx="4">
                  <c:v>0.04</c:v>
                </c:pt>
                <c:pt idx="5">
                  <c:v>0.03</c:v>
                </c:pt>
              </c:numCache>
            </c:numRef>
          </c:val>
          <c:extLst>
            <c:ext xmlns:c16="http://schemas.microsoft.com/office/drawing/2014/chart" uri="{C3380CC4-5D6E-409C-BE32-E72D297353CC}">
              <c16:uniqueId val="{00000002-91AF-4BEC-96F1-7AC6F408749A}"/>
            </c:ext>
          </c:extLst>
        </c:ser>
        <c:ser>
          <c:idx val="2"/>
          <c:order val="3"/>
          <c:tx>
            <c:strRef>
              <c:f>'Ch2. Patents-in-Force'!$A$75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Patents-in-Force'!$B$75:$G$75</c:f>
              <c:numCache>
                <c:formatCode>0%</c:formatCode>
                <c:ptCount val="6"/>
                <c:pt idx="0">
                  <c:v>0.03</c:v>
                </c:pt>
                <c:pt idx="1">
                  <c:v>1.9707313245448839E-2</c:v>
                </c:pt>
                <c:pt idx="2">
                  <c:v>0.77</c:v>
                </c:pt>
                <c:pt idx="3">
                  <c:v>2.1541975326406448E-2</c:v>
                </c:pt>
                <c:pt idx="4">
                  <c:v>5.7545646462736973E-2</c:v>
                </c:pt>
                <c:pt idx="5">
                  <c:v>1.9367119505869019E-2</c:v>
                </c:pt>
              </c:numCache>
            </c:numRef>
          </c:val>
          <c:extLst>
            <c:ext xmlns:c16="http://schemas.microsoft.com/office/drawing/2014/chart" uri="{C3380CC4-5D6E-409C-BE32-E72D297353CC}">
              <c16:uniqueId val="{00000003-91AF-4BEC-96F1-7AC6F408749A}"/>
            </c:ext>
          </c:extLst>
        </c:ser>
        <c:ser>
          <c:idx val="1"/>
          <c:order val="4"/>
          <c:tx>
            <c:strRef>
              <c:f>'Ch2. Patents-in-Force'!$A$74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Patents-in-Force'!$B$74:$G$74</c:f>
              <c:numCache>
                <c:formatCode>0%</c:formatCode>
                <c:ptCount val="6"/>
                <c:pt idx="0">
                  <c:v>0.08</c:v>
                </c:pt>
                <c:pt idx="1">
                  <c:v>0.81</c:v>
                </c:pt>
                <c:pt idx="2">
                  <c:v>0.10213171809420993</c:v>
                </c:pt>
                <c:pt idx="3">
                  <c:v>0.08</c:v>
                </c:pt>
                <c:pt idx="4">
                  <c:v>0.17166217660587241</c:v>
                </c:pt>
                <c:pt idx="5">
                  <c:v>9.6148273553514921E-2</c:v>
                </c:pt>
              </c:numCache>
            </c:numRef>
          </c:val>
          <c:extLst>
            <c:ext xmlns:c16="http://schemas.microsoft.com/office/drawing/2014/chart" uri="{C3380CC4-5D6E-409C-BE32-E72D297353CC}">
              <c16:uniqueId val="{00000004-91AF-4BEC-96F1-7AC6F408749A}"/>
            </c:ext>
          </c:extLst>
        </c:ser>
        <c:ser>
          <c:idx val="0"/>
          <c:order val="5"/>
          <c:tx>
            <c:strRef>
              <c:f>'Ch2. Patents-in-Force'!$A$73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Patents-in-Force'!$B$73:$G$73</c:f>
              <c:numCache>
                <c:formatCode>0%</c:formatCode>
                <c:ptCount val="6"/>
                <c:pt idx="0">
                  <c:v>0.61</c:v>
                </c:pt>
                <c:pt idx="1">
                  <c:v>6.7505787037037038E-2</c:v>
                </c:pt>
                <c:pt idx="2">
                  <c:v>6.3621659474013895E-2</c:v>
                </c:pt>
                <c:pt idx="3">
                  <c:v>0.06</c:v>
                </c:pt>
                <c:pt idx="4">
                  <c:v>0.15</c:v>
                </c:pt>
                <c:pt idx="5">
                  <c:v>0.32</c:v>
                </c:pt>
              </c:numCache>
            </c:numRef>
          </c:val>
          <c:extLst>
            <c:ext xmlns:c16="http://schemas.microsoft.com/office/drawing/2014/chart" uri="{C3380CC4-5D6E-409C-BE32-E72D297353CC}">
              <c16:uniqueId val="{00000005-91AF-4BEC-96F1-7AC6F408749A}"/>
            </c:ext>
          </c:extLst>
        </c:ser>
        <c:ser>
          <c:idx val="6"/>
          <c:order val="6"/>
          <c:spPr>
            <a:noFill/>
            <a:ln>
              <a:noFill/>
            </a:ln>
            <a:effectLst/>
          </c:spPr>
          <c:invertIfNegative val="0"/>
          <c:dLbls>
            <c:dLbl>
              <c:idx val="0"/>
              <c:tx>
                <c:rich>
                  <a:bodyPr/>
                  <a:lstStyle/>
                  <a:p>
                    <a:r>
                      <a:rPr lang="en-US"/>
                      <a:t>4,904,251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AF-4BEC-96F1-7AC6F408749A}"/>
                </c:ext>
              </c:extLst>
            </c:dLbl>
            <c:dLbl>
              <c:idx val="1"/>
              <c:tx>
                <c:rich>
                  <a:bodyPr/>
                  <a:lstStyle/>
                  <a:p>
                    <a:r>
                      <a:rPr lang="en-US"/>
                      <a:t>2,020,424</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AF-4BEC-96F1-7AC6F408749A}"/>
                </c:ext>
              </c:extLst>
            </c:dLbl>
            <c:dLbl>
              <c:idx val="2"/>
              <c:tx>
                <c:rich>
                  <a:bodyPr/>
                  <a:lstStyle/>
                  <a:p>
                    <a:r>
                      <a:rPr lang="en-US"/>
                      <a:t>1,153,320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AF-4BEC-96F1-7AC6F408749A}"/>
                </c:ext>
              </c:extLst>
            </c:dLbl>
            <c:dLbl>
              <c:idx val="3"/>
              <c:tx>
                <c:rich>
                  <a:bodyPr/>
                  <a:lstStyle/>
                  <a:p>
                    <a:r>
                      <a:rPr lang="en-US"/>
                      <a:t>3,596,901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AF-4BEC-96F1-7AC6F408749A}"/>
                </c:ext>
              </c:extLst>
            </c:dLbl>
            <c:dLbl>
              <c:idx val="4"/>
              <c:tx>
                <c:rich>
                  <a:bodyPr/>
                  <a:lstStyle/>
                  <a:p>
                    <a:r>
                      <a:rPr lang="en-US"/>
                      <a:t>3,327,540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AF-4BEC-96F1-7AC6F408749A}"/>
                </c:ext>
              </c:extLst>
            </c:dLbl>
            <c:dLbl>
              <c:idx val="5"/>
              <c:tx>
                <c:rich>
                  <a:bodyPr/>
                  <a:lstStyle/>
                  <a:p>
                    <a:r>
                      <a:rPr lang="en-US"/>
                      <a:t>1,442,111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AF-4BEC-96F1-7AC6F408749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Patents-in-Force'!$B$72:$G$72</c:f>
              <c:strCache>
                <c:ptCount val="6"/>
                <c:pt idx="0">
                  <c:v>EPC States</c:v>
                </c:pt>
                <c:pt idx="1">
                  <c:v>Japan</c:v>
                </c:pt>
                <c:pt idx="2">
                  <c:v>R. Korea</c:v>
                </c:pt>
                <c:pt idx="3">
                  <c:v>P.R. China</c:v>
                </c:pt>
                <c:pt idx="4">
                  <c:v>U.S.</c:v>
                </c:pt>
                <c:pt idx="5">
                  <c:v>Others</c:v>
                </c:pt>
              </c:strCache>
            </c:strRef>
          </c:cat>
          <c:val>
            <c:numRef>
              <c:f>'Ch2. Patents-in-Force'!$B$102:$G$102</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C-91AF-4BEC-96F1-7AC6F408749A}"/>
            </c:ext>
          </c:extLst>
        </c:ser>
        <c:dLbls>
          <c:showLegendKey val="0"/>
          <c:showVal val="0"/>
          <c:showCatName val="0"/>
          <c:showSerName val="0"/>
          <c:showPercent val="0"/>
          <c:showBubbleSize val="0"/>
        </c:dLbls>
        <c:gapWidth val="30"/>
        <c:overlap val="100"/>
        <c:axId val="437726376"/>
        <c:axId val="437724736"/>
      </c:barChart>
      <c:catAx>
        <c:axId val="43772637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7724736"/>
        <c:crosses val="autoZero"/>
        <c:auto val="1"/>
        <c:lblAlgn val="ctr"/>
        <c:lblOffset val="100"/>
        <c:noMultiLvlLbl val="0"/>
      </c:catAx>
      <c:valAx>
        <c:axId val="437724736"/>
        <c:scaling>
          <c:orientation val="minMax"/>
          <c:max val="1.1000000000000001"/>
          <c:min val="0"/>
        </c:scaling>
        <c:delete val="1"/>
        <c:axPos val="l"/>
        <c:numFmt formatCode="0%" sourceLinked="1"/>
        <c:majorTickMark val="out"/>
        <c:minorTickMark val="none"/>
        <c:tickLblPos val="nextTo"/>
        <c:crossAx val="437726376"/>
        <c:crosses val="autoZero"/>
        <c:crossBetween val="between"/>
      </c:valAx>
      <c:spPr>
        <a:noFill/>
        <a:ln>
          <a:noFill/>
        </a:ln>
        <a:effectLst/>
      </c:spPr>
    </c:plotArea>
    <c:legend>
      <c:legendPos val="r"/>
      <c:legendEntry>
        <c:idx val="0"/>
        <c:delete val="1"/>
      </c:legendEntry>
      <c:layout>
        <c:manualLayout>
          <c:xMode val="edge"/>
          <c:yMode val="edge"/>
          <c:x val="0.85997794323316834"/>
          <c:y val="0.33600457837507153"/>
          <c:w val="0.13615030916819162"/>
          <c:h val="0.411098612673415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2.3: IP5</a:t>
            </a:r>
            <a:r>
              <a:rPr lang="en-GB" b="1" baseline="0"/>
              <a:t> CROSS FILINGS BY BLOC OF ORIGIN</a:t>
            </a:r>
            <a:endParaRPr lang="en-GB" b="1"/>
          </a:p>
        </c:rich>
      </c:tx>
      <c:layout>
        <c:manualLayout>
          <c:xMode val="edge"/>
          <c:yMode val="edge"/>
          <c:x val="2.9691722389608842E-2"/>
          <c:y val="2.09973753280839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'Ch2. Cross filings'!$A$13</c:f>
              <c:strCache>
                <c:ptCount val="1"/>
                <c:pt idx="0">
                  <c:v>Others</c:v>
                </c:pt>
              </c:strCache>
            </c:strRef>
          </c:tx>
          <c:spPr>
            <a:solidFill>
              <a:schemeClr val="accent2"/>
            </a:solidFill>
            <a:ln>
              <a:noFill/>
            </a:ln>
            <a:effectLst/>
          </c:spPr>
          <c:invertIfNegative val="0"/>
          <c:dLbls>
            <c:dLbl>
              <c:idx val="0"/>
              <c:tx>
                <c:strRef>
                  <c:f>'Ch2. Cross filings'!$B$23</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{9DB9C9AD-27A6-49B7-82E1-29E45B1BBCF5}</c15:txfldGUID>
                      <c15:f>'Ch2. Cross filings'!$B$23</c15:f>
                      <c15:dlblFieldTableCache>
                        <c:ptCount val="1"/>
                        <c:pt idx="0">
                          <c:v>2%</c:v>
                        </c:pt>
                      </c15:dlblFieldTableCache>
                    </c15:dlblFTEntry>
                  </c15:dlblFieldTable>
                  <c15:showDataLabelsRange val="0"/>
                </c:ext>
                <c:ext xmlns:c16="http://schemas.microsoft.com/office/drawing/2014/chart" uri="{C3380CC4-5D6E-409C-BE32-E72D297353CC}">
                  <c16:uniqueId val="{00000008-EC8A-42E0-9CF3-4722C7267531}"/>
                </c:ext>
              </c:extLst>
            </c:dLbl>
            <c:dLbl>
              <c:idx val="1"/>
              <c:tx>
                <c:strRef>
                  <c:f>'Ch2. Cross filings'!$C$23</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{190CB571-0782-459E-BD36-0874D82DCBEA}</c15:txfldGUID>
                      <c15:f>'Ch2. Cross filings'!$C$23</c15:f>
                      <c15:dlblFieldTableCache>
                        <c:ptCount val="1"/>
                        <c:pt idx="0">
                          <c:v>2%</c:v>
                        </c:pt>
                      </c15:dlblFieldTableCache>
                    </c15:dlblFTEntry>
                  </c15:dlblFieldTable>
                  <c15:showDataLabelsRange val="0"/>
                </c:ext>
                <c:ext xmlns:c16="http://schemas.microsoft.com/office/drawing/2014/chart" uri="{C3380CC4-5D6E-409C-BE32-E72D297353CC}">
                  <c16:uniqueId val="{00000009-EC8A-42E0-9CF3-4722C7267531}"/>
                </c:ext>
              </c:extLst>
            </c:dLbl>
            <c:dLbl>
              <c:idx val="2"/>
              <c:tx>
                <c:strRef>
                  <c:f>'Ch2. Cross filings'!$D$23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{EB57448D-399F-494A-9DD9-0C24DF113755}</c15:txfldGUID>
                      <c15:f>'Ch2. Cross filings'!$D$23</c15:f>
                      <c15:dlblFieldTableCache>
                        <c:ptCount val="1"/>
                        <c:pt idx="0">
                          <c:v>3%</c:v>
                        </c:pt>
                      </c15:dlblFieldTableCache>
                    </c15:dlblFTEntry>
                  </c15:dlblFieldTable>
                  <c15:showDataLabelsRange val="0"/>
                </c:ext>
                <c:ext xmlns:c16="http://schemas.microsoft.com/office/drawing/2014/chart" uri="{C3380CC4-5D6E-409C-BE32-E72D297353CC}">
                  <c16:uniqueId val="{0000000A-EC8A-42E0-9CF3-4722C7267531}"/>
                </c:ext>
              </c:extLst>
            </c:dLbl>
            <c:dLbl>
              <c:idx val="3"/>
              <c:tx>
                <c:strRef>
                  <c:f>'Ch2. Cross filings'!$E$23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{4025B691-22E5-422F-9815-079D3FA9A07B}</c15:txfldGUID>
                      <c15:f>'Ch2. Cross filings'!$E$23</c15:f>
                      <c15:dlblFieldTableCache>
                        <c:ptCount val="1"/>
                        <c:pt idx="0">
                          <c:v>3%</c:v>
                        </c:pt>
                      </c15:dlblFieldTableCache>
                    </c15:dlblFTEntry>
                  </c15:dlblFieldTable>
                  <c15:showDataLabelsRange val="0"/>
                </c:ext>
                <c:ext xmlns:c16="http://schemas.microsoft.com/office/drawing/2014/chart" uri="{C3380CC4-5D6E-409C-BE32-E72D297353CC}">
                  <c16:uniqueId val="{0000000B-EC8A-42E0-9CF3-4722C7267531}"/>
                </c:ext>
              </c:extLst>
            </c:dLbl>
            <c:dLbl>
              <c:idx val="4"/>
              <c:tx>
                <c:strRef>
                  <c:f>'Ch2. Cross filings'!$F$23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{A60A9E8A-300C-453C-9B87-01B3FF61114F}</c15:txfldGUID>
                      <c15:f>'Ch2. Cross filings'!$F$23</c15:f>
                      <c15:dlblFieldTableCache>
                        <c:ptCount val="1"/>
                        <c:pt idx="0">
                          <c:v>3%</c:v>
                        </c:pt>
                      </c15:dlblFieldTableCache>
                    </c15:dlblFTEntry>
                  </c15:dlblFieldTable>
                  <c15:showDataLabelsRange val="0"/>
                </c:ext>
                <c:ext xmlns:c16="http://schemas.microsoft.com/office/drawing/2014/chart" uri="{C3380CC4-5D6E-409C-BE32-E72D297353CC}">
                  <c16:uniqueId val="{0000000C-EC8A-42E0-9CF3-4722C7267531}"/>
                </c:ext>
              </c:extLst>
            </c:dLbl>
            <c:dLbl>
              <c:idx val="5"/>
              <c:tx>
                <c:strRef>
                  <c:f>'Ch2. Cross filings'!$G$23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{20EBB996-CC58-4761-B4F8-F905FA4A9404}</c15:txfldGUID>
                      <c15:f>'Ch2. Cross filings'!$G$23</c15:f>
                      <c15:dlblFieldTableCache>
                        <c:ptCount val="1"/>
                        <c:pt idx="0">
                          <c:v>3%</c:v>
                        </c:pt>
                      </c15:dlblFieldTableCache>
                    </c15:dlblFTEntry>
                  </c15:dlblFieldTable>
                  <c15:showDataLabelsRange val="0"/>
                </c:ext>
                <c:ext xmlns:c16="http://schemas.microsoft.com/office/drawing/2014/chart" uri="{C3380CC4-5D6E-409C-BE32-E72D297353CC}">
                  <c16:uniqueId val="{0000000D-EC8A-42E0-9CF3-4722C7267531}"/>
                </c:ext>
              </c:extLst>
            </c:dLbl>
            <c:dLbl>
              <c:idx val="6"/>
              <c:tx>
                <c:strRef>
                  <c:f>'Ch2. Cross filings'!$H$23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{491DAC17-8B2C-47B4-936E-D48F464D4BFD}</c15:txfldGUID>
                      <c15:f>'Ch2. Cross filings'!$H$23</c15:f>
                      <c15:dlblFieldTableCache>
                        <c:ptCount val="1"/>
                        <c:pt idx="0">
                          <c:v>3%</c:v>
                        </c:pt>
                      </c15:dlblFieldTableCache>
                    </c15:dlblFTEntry>
                  </c15:dlblFieldTable>
                  <c15:showDataLabelsRange val="0"/>
                </c:ext>
                <c:ext xmlns:c16="http://schemas.microsoft.com/office/drawing/2014/chart" uri="{C3380CC4-5D6E-409C-BE32-E72D297353CC}">
                  <c16:uniqueId val="{0000000E-EC8A-42E0-9CF3-4722C7267531}"/>
                </c:ext>
              </c:extLst>
            </c:dLbl>
            <c:dLbl>
              <c:idx val="7"/>
              <c:tx>
                <c:strRef>
                  <c:f>'Ch2. Cross filings'!$I$23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{5287C97F-41B9-4E27-8FEF-F504FA8F6782}</c15:txfldGUID>
                      <c15:f>'Ch2. Cross filings'!$I$23</c15:f>
                      <c15:dlblFieldTableCache>
                        <c:ptCount val="1"/>
                        <c:pt idx="0">
                          <c:v>3%</c:v>
                        </c:pt>
                      </c15:dlblFieldTableCache>
                    </c15:dlblFTEntry>
                  </c15:dlblFieldTable>
                  <c15:showDataLabelsRange val="0"/>
                </c:ext>
                <c:ext xmlns:c16="http://schemas.microsoft.com/office/drawing/2014/chart" uri="{C3380CC4-5D6E-409C-BE32-E72D297353CC}">
                  <c16:uniqueId val="{0000000F-EC8A-42E0-9CF3-4722C7267531}"/>
                </c:ext>
              </c:extLst>
            </c:dLbl>
            <c:dLbl>
              <c:idx val="8"/>
              <c:tx>
                <c:strRef>
                  <c:f>'Ch2. Cross filings'!$J$23</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{2ED24955-2455-4172-95E1-6A3ED762D92A}</c15:txfldGUID>
                      <c15:f>'Ch2. Cross filings'!$J$23</c15:f>
                      <c15:dlblFieldTableCache>
                        <c:ptCount val="1"/>
                        <c:pt idx="0">
                          <c:v>3%</c:v>
                        </c:pt>
                      </c15:dlblFieldTableCache>
                    </c15:dlblFTEntry>
                  </c15:dlblFieldTable>
                  <c15:showDataLabelsRange val="0"/>
                </c:ext>
                <c:ext xmlns:c16="http://schemas.microsoft.com/office/drawing/2014/chart" uri="{C3380CC4-5D6E-409C-BE32-E72D297353CC}">
                  <c16:uniqueId val="{00000010-EC8A-42E0-9CF3-4722C7267531}"/>
                </c:ext>
              </c:extLst>
            </c:dLbl>
            <c:dLbl>
              <c:idx val="9"/>
              <c:tx>
                <c:strRef>
                  <c:f>'Ch2. Cross filings'!$K$23</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{B1E8D763-BD88-43B2-A9CC-573591A31CBF}</c15:txfldGUID>
                      <c15:f>'Ch2. Cross filings'!$K$23</c15:f>
                      <c15:dlblFieldTableCache>
                        <c:ptCount val="1"/>
                        <c:pt idx="0">
                          <c:v>2%</c:v>
                        </c:pt>
                      </c15:dlblFieldTableCache>
                    </c15:dlblFTEntry>
                  </c15:dlblFieldTable>
                  <c15:showDataLabelsRange val="0"/>
                </c:ext>
                <c:ext xmlns:c16="http://schemas.microsoft.com/office/drawing/2014/chart" uri="{C3380CC4-5D6E-409C-BE32-E72D297353CC}">
                  <c16:uniqueId val="{00000011-EC8A-42E0-9CF3-4722C7267531}"/>
                </c:ext>
              </c:extLst>
            </c:dLbl>
            <c:dLbl>
              <c:idx val="10"/>
              <c:tx>
                <c:rich>
                  <a:bodyPr/>
                  <a:lstStyle/>
                  <a:p>
                    <a:r>
                      <a:rPr lang="en-US"/>
                      <a:t>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filings'!$B$13:$L$13</c:f>
              <c:numCache>
                <c:formatCode>#,##0</c:formatCode>
                <c:ptCount val="11"/>
                <c:pt idx="0">
                  <c:v>4624</c:v>
                </c:pt>
                <c:pt idx="1">
                  <c:v>5829</c:v>
                </c:pt>
                <c:pt idx="2">
                  <c:v>6392</c:v>
                </c:pt>
                <c:pt idx="3">
                  <c:v>6699</c:v>
                </c:pt>
                <c:pt idx="4">
                  <c:v>6948</c:v>
                </c:pt>
                <c:pt idx="5">
                  <c:v>6855</c:v>
                </c:pt>
                <c:pt idx="6">
                  <c:v>7151</c:v>
                </c:pt>
                <c:pt idx="7">
                  <c:v>7450</c:v>
                </c:pt>
                <c:pt idx="8">
                  <c:v>7886</c:v>
                </c:pt>
                <c:pt idx="9">
                  <c:v>7514</c:v>
                </c:pt>
                <c:pt idx="10" formatCode="General">
                  <c:v>8419</c:v>
                </c:pt>
              </c:numCache>
            </c:numRef>
          </c:val>
          <c:extLst>
            <c:ext xmlns:c16="http://schemas.microsoft.com/office/drawing/2014/chart" uri="{C3380CC4-5D6E-409C-BE32-E72D297353CC}">
              <c16:uniqueId val="{00000005-EC8A-42E0-9CF3-4722C7267531}"/>
            </c:ext>
          </c:extLst>
        </c:ser>
        <c:ser>
          <c:idx val="4"/>
          <c:order val="1"/>
          <c:tx>
            <c:strRef>
              <c:f>'Ch2. Cross filings'!$A$12</c:f>
              <c:strCache>
                <c:ptCount val="1"/>
                <c:pt idx="0">
                  <c:v>U.S.</c:v>
                </c:pt>
              </c:strCache>
            </c:strRef>
          </c:tx>
          <c:spPr>
            <a:solidFill>
              <a:srgbClr val="008000"/>
            </a:solidFill>
            <a:ln>
              <a:noFill/>
            </a:ln>
            <a:effectLst/>
          </c:spPr>
          <c:invertIfNegative val="0"/>
          <c:dLbls>
            <c:dLbl>
              <c:idx val="0"/>
              <c:tx>
                <c:strRef>
                  <c:f>'Ch2. Cross filings'!$B$22</c:f>
                  <c:strCache>
                    <c:ptCount val="1"/>
                    <c:pt idx="0">
                      <c:v>31%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{44319D76-4A80-4FAC-8C56-F147C29A22E3}</c15:txfldGUID>
                      <c15:f>'Ch2. Cross filings'!$B$22</c15:f>
                      <c15:dlblFieldTableCache>
                        <c:ptCount val="1"/>
                        <c:pt idx="0">
                          <c:v>31%</c:v>
                        </c:pt>
                      </c15:dlblFieldTableCache>
                    </c15:dlblFTEntry>
                  </c15:dlblFieldTable>
                  <c15:showDataLabelsRange val="0"/>
                </c:ext>
                <c:ext xmlns:c16="http://schemas.microsoft.com/office/drawing/2014/chart" uri="{C3380CC4-5D6E-409C-BE32-E72D297353CC}">
                  <c16:uniqueId val="{00000012-EC8A-42E0-9CF3-4722C7267531}"/>
                </c:ext>
              </c:extLst>
            </c:dLbl>
            <c:dLbl>
              <c:idx val="1"/>
              <c:tx>
                <c:strRef>
                  <c:f>'Ch2. Cross filings'!$C$22</c:f>
                  <c:strCache>
                    <c:ptCount val="1"/>
                    <c:pt idx="0">
                      <c:v>31%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{E0902D1C-DE14-4B95-9E64-58C012F3F214}</c15:txfldGUID>
                      <c15:f>'Ch2. Cross filings'!$C$22</c15:f>
                      <c15:dlblFieldTableCache>
                        <c:ptCount val="1"/>
                        <c:pt idx="0">
                          <c:v>31%</c:v>
                        </c:pt>
                      </c15:dlblFieldTableCache>
                    </c15:dlblFTEntry>
                  </c15:dlblFieldTable>
                  <c15:showDataLabelsRange val="0"/>
                </c:ext>
                <c:ext xmlns:c16="http://schemas.microsoft.com/office/drawing/2014/chart" uri="{C3380CC4-5D6E-409C-BE32-E72D297353CC}">
                  <c16:uniqueId val="{00000013-EC8A-42E0-9CF3-4722C7267531}"/>
                </c:ext>
              </c:extLst>
            </c:dLbl>
            <c:dLbl>
              <c:idx val="2"/>
              <c:tx>
                <c:strRef>
                  <c:f>'Ch2. Cross filings'!$D$22</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{846549C2-8E08-405B-97F5-B10E877E89FA}</c15:txfldGUID>
                      <c15:f>'Ch2. Cross filings'!$D$22</c15:f>
                      <c15:dlblFieldTableCache>
                        <c:ptCount val="1"/>
                        <c:pt idx="0">
                          <c:v>32%</c:v>
                        </c:pt>
                      </c15:dlblFieldTableCache>
                    </c15:dlblFTEntry>
                  </c15:dlblFieldTable>
                  <c15:showDataLabelsRange val="0"/>
                </c:ext>
                <c:ext xmlns:c16="http://schemas.microsoft.com/office/drawing/2014/chart" uri="{C3380CC4-5D6E-409C-BE32-E72D297353CC}">
                  <c16:uniqueId val="{00000014-EC8A-42E0-9CF3-4722C7267531}"/>
                </c:ext>
              </c:extLst>
            </c:dLbl>
            <c:dLbl>
              <c:idx val="3"/>
              <c:tx>
                <c:strRef>
                  <c:f>'Ch2. Cross filings'!$E$22</c:f>
                  <c:strCache>
                    <c:ptCount val="1"/>
                    <c:pt idx="0">
                      <c:v>34%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{1430A912-829F-4A6F-92C1-32BB8D8710B3}</c15:txfldGUID>
                      <c15:f>'Ch2. Cross filings'!$E$22</c15:f>
                      <c15:dlblFieldTableCache>
                        <c:ptCount val="1"/>
                        <c:pt idx="0">
                          <c:v>34%</c:v>
                        </c:pt>
                      </c15:dlblFieldTableCache>
                    </c15:dlblFTEntry>
                  </c15:dlblFieldTable>
                  <c15:showDataLabelsRange val="0"/>
                </c:ext>
                <c:ext xmlns:c16="http://schemas.microsoft.com/office/drawing/2014/chart" uri="{C3380CC4-5D6E-409C-BE32-E72D297353CC}">
                  <c16:uniqueId val="{00000015-EC8A-42E0-9CF3-4722C7267531}"/>
                </c:ext>
              </c:extLst>
            </c:dLbl>
            <c:dLbl>
              <c:idx val="4"/>
              <c:tx>
                <c:strRef>
                  <c:f>'Ch2. Cross filings'!$F$22</c:f>
                  <c:strCache>
                    <c:ptCount val="1"/>
                    <c:pt idx="0">
                      <c:v>33%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{AB9F94CA-791F-4589-9C7F-F652C4F9DE82}</c15:txfldGUID>
                      <c15:f>'Ch2. Cross filings'!$F$22</c15:f>
                      <c15:dlblFieldTableCache>
                        <c:ptCount val="1"/>
                        <c:pt idx="0">
                          <c:v>33%</c:v>
                        </c:pt>
                      </c15:dlblFieldTableCache>
                    </c15:dlblFTEntry>
                  </c15:dlblFieldTable>
                  <c15:showDataLabelsRange val="0"/>
                </c:ext>
                <c:ext xmlns:c16="http://schemas.microsoft.com/office/drawing/2014/chart" uri="{C3380CC4-5D6E-409C-BE32-E72D297353CC}">
                  <c16:uniqueId val="{00000016-EC8A-42E0-9CF3-4722C7267531}"/>
                </c:ext>
              </c:extLst>
            </c:dLbl>
            <c:dLbl>
              <c:idx val="5"/>
              <c:tx>
                <c:strRef>
                  <c:f>'Ch2. Cross filings'!$G$22</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{B9530198-AAB4-4A88-A162-C2DD3B491F4B}</c15:txfldGUID>
                      <c15:f>'Ch2. Cross filings'!$G$22</c15:f>
                      <c15:dlblFieldTableCache>
                        <c:ptCount val="1"/>
                        <c:pt idx="0">
                          <c:v>32%</c:v>
                        </c:pt>
                      </c15:dlblFieldTableCache>
                    </c15:dlblFTEntry>
                  </c15:dlblFieldTable>
                  <c15:showDataLabelsRange val="0"/>
                </c:ext>
                <c:ext xmlns:c16="http://schemas.microsoft.com/office/drawing/2014/chart" uri="{C3380CC4-5D6E-409C-BE32-E72D297353CC}">
                  <c16:uniqueId val="{00000017-EC8A-42E0-9CF3-4722C7267531}"/>
                </c:ext>
              </c:extLst>
            </c:dLbl>
            <c:dLbl>
              <c:idx val="6"/>
              <c:tx>
                <c:strRef>
                  <c:f>'Ch2. Cross filings'!$H$22</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{EB746BED-66D5-4003-A435-88448029E630}</c15:txfldGUID>
                      <c15:f>'Ch2. Cross filings'!$H$22</c15:f>
                      <c15:dlblFieldTableCache>
                        <c:ptCount val="1"/>
                        <c:pt idx="0">
                          <c:v>32%</c:v>
                        </c:pt>
                      </c15:dlblFieldTableCache>
                    </c15:dlblFTEntry>
                  </c15:dlblFieldTable>
                  <c15:showDataLabelsRange val="0"/>
                </c:ext>
                <c:ext xmlns:c16="http://schemas.microsoft.com/office/drawing/2014/chart" uri="{C3380CC4-5D6E-409C-BE32-E72D297353CC}">
                  <c16:uniqueId val="{00000018-EC8A-42E0-9CF3-4722C7267531}"/>
                </c:ext>
              </c:extLst>
            </c:dLbl>
            <c:dLbl>
              <c:idx val="7"/>
              <c:tx>
                <c:strRef>
                  <c:f>'Ch2. Cross filings'!$I$22</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{413D6733-C6D0-431A-A70F-33B1BC98012F}</c15:txfldGUID>
                      <c15:f>'Ch2. Cross filings'!$I$22</c15:f>
                      <c15:dlblFieldTableCache>
                        <c:ptCount val="1"/>
                        <c:pt idx="0">
                          <c:v>32%</c:v>
                        </c:pt>
                      </c15:dlblFieldTableCache>
                    </c15:dlblFTEntry>
                  </c15:dlblFieldTable>
                  <c15:showDataLabelsRange val="0"/>
                </c:ext>
                <c:ext xmlns:c16="http://schemas.microsoft.com/office/drawing/2014/chart" uri="{C3380CC4-5D6E-409C-BE32-E72D297353CC}">
                  <c16:uniqueId val="{00000019-EC8A-42E0-9CF3-4722C7267531}"/>
                </c:ext>
              </c:extLst>
            </c:dLbl>
            <c:dLbl>
              <c:idx val="8"/>
              <c:tx>
                <c:strRef>
                  <c:f>'Ch2. Cross filings'!$J$22</c:f>
                  <c:strCache>
                    <c:ptCount val="1"/>
                    <c:pt idx="0">
                      <c:v>31%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{65DEA8B3-C72D-4BD9-B342-0C07DC0A5E5B}</c15:txfldGUID>
                      <c15:f>'Ch2. Cross filings'!$J$22</c15:f>
                      <c15:dlblFieldTableCache>
                        <c:ptCount val="1"/>
                        <c:pt idx="0">
                          <c:v>31%</c:v>
                        </c:pt>
                      </c15:dlblFieldTableCache>
                    </c15:dlblFTEntry>
                  </c15:dlblFieldTable>
                  <c15:showDataLabelsRange val="0"/>
                </c:ext>
                <c:ext xmlns:c16="http://schemas.microsoft.com/office/drawing/2014/chart" uri="{C3380CC4-5D6E-409C-BE32-E72D297353CC}">
                  <c16:uniqueId val="{0000001A-EC8A-42E0-9CF3-4722C7267531}"/>
                </c:ext>
              </c:extLst>
            </c:dLbl>
            <c:dLbl>
              <c:idx val="9"/>
              <c:tx>
                <c:strRef>
                  <c:f>'Ch2. Cross filings'!$K$22</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{C7F20920-116A-4452-A775-2F8DC2D940FC}</c15:txfldGUID>
                      <c15:f>'Ch2. Cross filings'!$K$22</c15:f>
                      <c15:dlblFieldTableCache>
                        <c:ptCount val="1"/>
                        <c:pt idx="0">
                          <c:v>32%</c:v>
                        </c:pt>
                      </c15:dlblFieldTableCache>
                    </c15:dlblFTEntry>
                  </c15:dlblFieldTable>
                  <c15:showDataLabelsRange val="0"/>
                </c:ext>
                <c:ext xmlns:c16="http://schemas.microsoft.com/office/drawing/2014/chart" uri="{C3380CC4-5D6E-409C-BE32-E72D297353CC}">
                  <c16:uniqueId val="{0000001B-EC8A-42E0-9CF3-4722C7267531}"/>
                </c:ext>
              </c:extLst>
            </c:dLbl>
            <c:dLbl>
              <c:idx val="10"/>
              <c:tx>
                <c:rich>
                  <a:bodyPr/>
                  <a:lstStyle/>
                  <a:p>
                    <a:r>
                      <a:rPr lang="en-US"/>
                      <a:t>32%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filings'!$B$12:$L$12</c:f>
              <c:numCache>
                <c:formatCode>#,##0</c:formatCode>
                <c:ptCount val="11"/>
                <c:pt idx="0">
                  <c:v>69896</c:v>
                </c:pt>
                <c:pt idx="1">
                  <c:v>74768</c:v>
                </c:pt>
                <c:pt idx="2">
                  <c:v>80685</c:v>
                </c:pt>
                <c:pt idx="3">
                  <c:v>89252</c:v>
                </c:pt>
                <c:pt idx="4">
                  <c:v>89937</c:v>
                </c:pt>
                <c:pt idx="5">
                  <c:v>86888</c:v>
                </c:pt>
                <c:pt idx="6">
                  <c:v>88414</c:v>
                </c:pt>
                <c:pt idx="7">
                  <c:v>90059</c:v>
                </c:pt>
                <c:pt idx="8">
                  <c:v>93790</c:v>
                </c:pt>
                <c:pt idx="9">
                  <c:v>97180</c:v>
                </c:pt>
                <c:pt idx="10" formatCode="General">
                  <c:v>99790</c:v>
                </c:pt>
              </c:numCache>
            </c:numRef>
          </c:val>
          <c:extLst>
            <c:ext xmlns:c16="http://schemas.microsoft.com/office/drawing/2014/chart" uri="{C3380CC4-5D6E-409C-BE32-E72D297353CC}">
              <c16:uniqueId val="{00000004-EC8A-42E0-9CF3-4722C7267531}"/>
            </c:ext>
          </c:extLst>
        </c:ser>
        <c:ser>
          <c:idx val="3"/>
          <c:order val="2"/>
          <c:tx>
            <c:strRef>
              <c:f>'Ch2. Cross filings'!$A$11</c:f>
              <c:strCache>
                <c:ptCount val="1"/>
                <c:pt idx="0">
                  <c:v>P.R. China</c:v>
                </c:pt>
              </c:strCache>
            </c:strRef>
          </c:tx>
          <c:spPr>
            <a:solidFill>
              <a:srgbClr val="FFC000"/>
            </a:solidFill>
            <a:ln>
              <a:noFill/>
            </a:ln>
            <a:effectLst/>
          </c:spPr>
          <c:invertIfNegative val="0"/>
          <c:dLbls>
            <c:dLbl>
              <c:idx val="0"/>
              <c:tx>
                <c:strRef>
                  <c:f>'Ch2. Cross filings'!$B$21</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{2E6C7B77-2A9A-4035-862C-B415EBC2FEF7}</c15:txfldGUID>
                      <c15:f>'Ch2. Cross filings'!$B$21</c15:f>
                      <c15:dlblFieldTableCache>
                        <c:ptCount val="1"/>
                        <c:pt idx="0">
                          <c:v>5%</c:v>
                        </c:pt>
                      </c15:dlblFieldTableCache>
                    </c15:dlblFTEntry>
                  </c15:dlblFieldTable>
                  <c15:showDataLabelsRange val="0"/>
                </c:ext>
                <c:ext xmlns:c16="http://schemas.microsoft.com/office/drawing/2014/chart" uri="{C3380CC4-5D6E-409C-BE32-E72D297353CC}">
                  <c16:uniqueId val="{0000001C-EC8A-42E0-9CF3-4722C7267531}"/>
                </c:ext>
              </c:extLst>
            </c:dLbl>
            <c:dLbl>
              <c:idx val="1"/>
              <c:tx>
                <c:strRef>
                  <c:f>'Ch2. Cross filings'!$C$21</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{1C3E60C1-834D-479D-8FF9-99688BE4D3A4}</c15:txfldGUID>
                      <c15:f>'Ch2. Cross filings'!$C$21</c15:f>
                      <c15:dlblFieldTableCache>
                        <c:ptCount val="1"/>
                        <c:pt idx="0">
                          <c:v>5%</c:v>
                        </c:pt>
                      </c15:dlblFieldTableCache>
                    </c15:dlblFTEntry>
                  </c15:dlblFieldTable>
                  <c15:showDataLabelsRange val="0"/>
                </c:ext>
                <c:ext xmlns:c16="http://schemas.microsoft.com/office/drawing/2014/chart" uri="{C3380CC4-5D6E-409C-BE32-E72D297353CC}">
                  <c16:uniqueId val="{0000001D-EC8A-42E0-9CF3-4722C7267531}"/>
                </c:ext>
              </c:extLst>
            </c:dLbl>
            <c:dLbl>
              <c:idx val="2"/>
              <c:tx>
                <c:strRef>
                  <c:f>'Ch2. Cross filings'!$D$21</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{D2445237-B2BF-431D-8E0C-7F49E8849A0F}</c15:txfldGUID>
                      <c15:f>'Ch2. Cross filings'!$D$21</c15:f>
                      <c15:dlblFieldTableCache>
                        <c:ptCount val="1"/>
                        <c:pt idx="0">
                          <c:v>5%</c:v>
                        </c:pt>
                      </c15:dlblFieldTableCache>
                    </c15:dlblFTEntry>
                  </c15:dlblFieldTable>
                  <c15:showDataLabelsRange val="0"/>
                </c:ext>
                <c:ext xmlns:c16="http://schemas.microsoft.com/office/drawing/2014/chart" uri="{C3380CC4-5D6E-409C-BE32-E72D297353CC}">
                  <c16:uniqueId val="{0000001E-EC8A-42E0-9CF3-4722C7267531}"/>
                </c:ext>
              </c:extLst>
            </c:dLbl>
            <c:dLbl>
              <c:idx val="3"/>
              <c:tx>
                <c:strRef>
                  <c:f>'Ch2. Cross filings'!$E$21</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{8982BA16-C6CA-498A-BC1D-253D3192A970}</c15:txfldGUID>
                      <c15:f>'Ch2. Cross filings'!$E$21</c15:f>
                      <c15:dlblFieldTableCache>
                        <c:ptCount val="1"/>
                        <c:pt idx="0">
                          <c:v>6%</c:v>
                        </c:pt>
                      </c15:dlblFieldTableCache>
                    </c15:dlblFTEntry>
                  </c15:dlblFieldTable>
                  <c15:showDataLabelsRange val="0"/>
                </c:ext>
                <c:ext xmlns:c16="http://schemas.microsoft.com/office/drawing/2014/chart" uri="{C3380CC4-5D6E-409C-BE32-E72D297353CC}">
                  <c16:uniqueId val="{0000001F-EC8A-42E0-9CF3-4722C7267531}"/>
                </c:ext>
              </c:extLst>
            </c:dLbl>
            <c:dLbl>
              <c:idx val="4"/>
              <c:tx>
                <c:strRef>
                  <c:f>'Ch2. Cross filings'!$F$21</c:f>
                  <c:strCache>
                    <c:ptCount val="1"/>
                    <c:pt idx="0">
                      <c:v>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{EA486C5D-6A3E-453D-B5E2-C8BC65F34FBC}</c15:txfldGUID>
                      <c15:f>'Ch2. Cross filings'!$F$21</c15:f>
                      <c15:dlblFieldTableCache>
                        <c:ptCount val="1"/>
                        <c:pt idx="0">
                          <c:v>7%</c:v>
                        </c:pt>
                      </c15:dlblFieldTableCache>
                    </c15:dlblFTEntry>
                  </c15:dlblFieldTable>
                  <c15:showDataLabelsRange val="0"/>
                </c:ext>
                <c:ext xmlns:c16="http://schemas.microsoft.com/office/drawing/2014/chart" uri="{C3380CC4-5D6E-409C-BE32-E72D297353CC}">
                  <c16:uniqueId val="{00000020-EC8A-42E0-9CF3-4722C7267531}"/>
                </c:ext>
              </c:extLst>
            </c:dLbl>
            <c:dLbl>
              <c:idx val="5"/>
              <c:tx>
                <c:strRef>
                  <c:f>'Ch2. Cross filings'!$G$21</c:f>
                  <c:strCache>
                    <c:ptCount val="1"/>
                    <c:pt idx="0">
                      <c:v>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{4584FA37-CBA6-4860-AF13-AF1A8946800D}</c15:txfldGUID>
                      <c15:f>'Ch2. Cross filings'!$G$21</c15:f>
                      <c15:dlblFieldTableCache>
                        <c:ptCount val="1"/>
                        <c:pt idx="0">
                          <c:v>7%</c:v>
                        </c:pt>
                      </c15:dlblFieldTableCache>
                    </c15:dlblFTEntry>
                  </c15:dlblFieldTable>
                  <c15:showDataLabelsRange val="0"/>
                </c:ext>
                <c:ext xmlns:c16="http://schemas.microsoft.com/office/drawing/2014/chart" uri="{C3380CC4-5D6E-409C-BE32-E72D297353CC}">
                  <c16:uniqueId val="{00000021-EC8A-42E0-9CF3-4722C7267531}"/>
                </c:ext>
              </c:extLst>
            </c:dLbl>
            <c:dLbl>
              <c:idx val="6"/>
              <c:tx>
                <c:strRef>
                  <c:f>'Ch2. Cross filings'!$H$21</c:f>
                  <c:strCache>
                    <c:ptCount val="1"/>
                    <c:pt idx="0">
                      <c:v>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{A3750D01-9CC1-452E-A44F-E684ED1916E5}</c15:txfldGUID>
                      <c15:f>'Ch2. Cross filings'!$H$21</c15:f>
                      <c15:dlblFieldTableCache>
                        <c:ptCount val="1"/>
                        <c:pt idx="0">
                          <c:v>8%</c:v>
                        </c:pt>
                      </c15:dlblFieldTableCache>
                    </c15:dlblFTEntry>
                  </c15:dlblFieldTable>
                  <c15:showDataLabelsRange val="0"/>
                </c:ext>
                <c:ext xmlns:c16="http://schemas.microsoft.com/office/drawing/2014/chart" uri="{C3380CC4-5D6E-409C-BE32-E72D297353CC}">
                  <c16:uniqueId val="{00000022-EC8A-42E0-9CF3-4722C7267531}"/>
                </c:ext>
              </c:extLst>
            </c:dLbl>
            <c:dLbl>
              <c:idx val="7"/>
              <c:tx>
                <c:strRef>
                  <c:f>'Ch2. Cross filings'!$I$21</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{0651E302-7C8F-4A15-93FD-A29DDCC556B5}</c15:txfldGUID>
                      <c15:f>'Ch2. Cross filings'!$I$21</c15:f>
                      <c15:dlblFieldTableCache>
                        <c:ptCount val="1"/>
                        <c:pt idx="0">
                          <c:v>10%</c:v>
                        </c:pt>
                      </c15:dlblFieldTableCache>
                    </c15:dlblFTEntry>
                  </c15:dlblFieldTable>
                  <c15:showDataLabelsRange val="0"/>
                </c:ext>
                <c:ext xmlns:c16="http://schemas.microsoft.com/office/drawing/2014/chart" uri="{C3380CC4-5D6E-409C-BE32-E72D297353CC}">
                  <c16:uniqueId val="{00000023-EC8A-42E0-9CF3-4722C7267531}"/>
                </c:ext>
              </c:extLst>
            </c:dLbl>
            <c:dLbl>
              <c:idx val="8"/>
              <c:tx>
                <c:strRef>
                  <c:f>'Ch2. Cross filings'!$J$21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{554E1724-E57A-4997-9601-2D26B1149BCE}</c15:txfldGUID>
                      <c15:f>'Ch2. Cross filings'!$J$21</c15:f>
                      <c15:dlblFieldTableCache>
                        <c:ptCount val="1"/>
                        <c:pt idx="0">
                          <c:v>11%</c:v>
                        </c:pt>
                      </c15:dlblFieldTableCache>
                    </c15:dlblFTEntry>
                  </c15:dlblFieldTable>
                  <c15:showDataLabelsRange val="0"/>
                </c:ext>
                <c:ext xmlns:c16="http://schemas.microsoft.com/office/drawing/2014/chart" uri="{C3380CC4-5D6E-409C-BE32-E72D297353CC}">
                  <c16:uniqueId val="{00000024-EC8A-42E0-9CF3-4722C7267531}"/>
                </c:ext>
              </c:extLst>
            </c:dLbl>
            <c:dLbl>
              <c:idx val="9"/>
              <c:tx>
                <c:strRef>
                  <c:f>'Ch2. Cross filings'!$K$21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{86CE24CB-1CF9-4799-8769-6E8366E4F4EC}</c15:txfldGUID>
                      <c15:f>'Ch2. Cross filings'!$K$21</c15:f>
                      <c15:dlblFieldTableCache>
                        <c:ptCount val="1"/>
                        <c:pt idx="0">
                          <c:v>12%</c:v>
                        </c:pt>
                      </c15:dlblFieldTableCache>
                    </c15:dlblFTEntry>
                  </c15:dlblFieldTable>
                  <c15:showDataLabelsRange val="0"/>
                </c:ext>
                <c:ext xmlns:c16="http://schemas.microsoft.com/office/drawing/2014/chart" uri="{C3380CC4-5D6E-409C-BE32-E72D297353CC}">
                  <c16:uniqueId val="{00000025-EC8A-42E0-9CF3-4722C7267531}"/>
                </c:ext>
              </c:extLst>
            </c:dLbl>
            <c:dLbl>
              <c:idx val="10"/>
              <c:tx>
                <c:rich>
                  <a:bodyPr/>
                  <a:lstStyle/>
                  <a:p>
                    <a:r>
                      <a:rPr lang="en-US"/>
                      <a:t>13%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filings'!$B$11:$L$11</c:f>
              <c:numCache>
                <c:formatCode>#,##0</c:formatCode>
                <c:ptCount val="11"/>
                <c:pt idx="0">
                  <c:v>11073</c:v>
                </c:pt>
                <c:pt idx="1">
                  <c:v>12329</c:v>
                </c:pt>
                <c:pt idx="2">
                  <c:v>13701</c:v>
                </c:pt>
                <c:pt idx="3">
                  <c:v>15954</c:v>
                </c:pt>
                <c:pt idx="4">
                  <c:v>18810</c:v>
                </c:pt>
                <c:pt idx="5">
                  <c:v>20011</c:v>
                </c:pt>
                <c:pt idx="6">
                  <c:v>23184</c:v>
                </c:pt>
                <c:pt idx="7">
                  <c:v>27489</c:v>
                </c:pt>
                <c:pt idx="8">
                  <c:v>33970</c:v>
                </c:pt>
                <c:pt idx="9">
                  <c:v>37145</c:v>
                </c:pt>
                <c:pt idx="10" formatCode="General">
                  <c:v>41367</c:v>
                </c:pt>
              </c:numCache>
            </c:numRef>
          </c:val>
          <c:extLst>
            <c:ext xmlns:c16="http://schemas.microsoft.com/office/drawing/2014/chart" uri="{C3380CC4-5D6E-409C-BE32-E72D297353CC}">
              <c16:uniqueId val="{00000003-EC8A-42E0-9CF3-4722C7267531}"/>
            </c:ext>
          </c:extLst>
        </c:ser>
        <c:ser>
          <c:idx val="2"/>
          <c:order val="3"/>
          <c:tx>
            <c:strRef>
              <c:f>'Ch2. Cross filings'!$A$10</c:f>
              <c:strCache>
                <c:ptCount val="1"/>
                <c:pt idx="0">
                  <c:v>R. Korea</c:v>
                </c:pt>
              </c:strCache>
            </c:strRef>
          </c:tx>
          <c:spPr>
            <a:solidFill>
              <a:srgbClr val="7030A0"/>
            </a:solidFill>
            <a:ln>
              <a:noFill/>
            </a:ln>
            <a:effectLst/>
          </c:spPr>
          <c:invertIfNegative val="0"/>
          <c:dLbls>
            <c:dLbl>
              <c:idx val="0"/>
              <c:tx>
                <c:strRef>
                  <c:f>'Ch2. Cross filings'!$B$20</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{F57893C8-D00C-4C75-81A5-7BE0F77713CE}</c15:txfldGUID>
                      <c15:f>'Ch2. Cross filings'!$B$20</c15:f>
                      <c15:dlblFieldTableCache>
                        <c:ptCount val="1"/>
                        <c:pt idx="0">
                          <c:v>10%</c:v>
                        </c:pt>
                      </c15:dlblFieldTableCache>
                    </c15:dlblFTEntry>
                  </c15:dlblFieldTable>
                  <c15:showDataLabelsRange val="0"/>
                </c:ext>
                <c:ext xmlns:c16="http://schemas.microsoft.com/office/drawing/2014/chart" uri="{C3380CC4-5D6E-409C-BE32-E72D297353CC}">
                  <c16:uniqueId val="{00000026-EC8A-42E0-9CF3-4722C7267531}"/>
                </c:ext>
              </c:extLst>
            </c:dLbl>
            <c:dLbl>
              <c:idx val="1"/>
              <c:tx>
                <c:strRef>
                  <c:f>'Ch2. Cross filings'!$C$20</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{22EF22F9-E599-4786-9C16-6EF6EA630896}</c15:txfldGUID>
                      <c15:f>'Ch2. Cross filings'!$C$20</c15:f>
                      <c15:dlblFieldTableCache>
                        <c:ptCount val="1"/>
                        <c:pt idx="0">
                          <c:v>10%</c:v>
                        </c:pt>
                      </c15:dlblFieldTableCache>
                    </c15:dlblFTEntry>
                  </c15:dlblFieldTable>
                  <c15:showDataLabelsRange val="0"/>
                </c:ext>
                <c:ext xmlns:c16="http://schemas.microsoft.com/office/drawing/2014/chart" uri="{C3380CC4-5D6E-409C-BE32-E72D297353CC}">
                  <c16:uniqueId val="{00000027-EC8A-42E0-9CF3-4722C7267531}"/>
                </c:ext>
              </c:extLst>
            </c:dLbl>
            <c:dLbl>
              <c:idx val="2"/>
              <c:tx>
                <c:strRef>
                  <c:f>'Ch2. Cross filings'!$D$20</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{AD1E5CAA-197E-4733-8C60-C867212B9DF5}</c15:txfldGUID>
                      <c15:f>'Ch2. Cross filings'!$D$20</c15:f>
                      <c15:dlblFieldTableCache>
                        <c:ptCount val="1"/>
                        <c:pt idx="0">
                          <c:v>10%</c:v>
                        </c:pt>
                      </c15:dlblFieldTableCache>
                    </c15:dlblFTEntry>
                  </c15:dlblFieldTable>
                  <c15:showDataLabelsRange val="0"/>
                </c:ext>
                <c:ext xmlns:c16="http://schemas.microsoft.com/office/drawing/2014/chart" uri="{C3380CC4-5D6E-409C-BE32-E72D297353CC}">
                  <c16:uniqueId val="{00000028-EC8A-42E0-9CF3-4722C7267531}"/>
                </c:ext>
              </c:extLst>
            </c:dLbl>
            <c:dLbl>
              <c:idx val="3"/>
              <c:tx>
                <c:strRef>
                  <c:f>'Ch2. Cross filings'!$E$20</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{2A587B72-A943-4C0A-9AC2-CD4F6262CB51}</c15:txfldGUID>
                      <c15:f>'Ch2. Cross filings'!$E$20</c15:f>
                      <c15:dlblFieldTableCache>
                        <c:ptCount val="1"/>
                        <c:pt idx="0">
                          <c:v>11%</c:v>
                        </c:pt>
                      </c15:dlblFieldTableCache>
                    </c15:dlblFTEntry>
                  </c15:dlblFieldTable>
                  <c15:showDataLabelsRange val="0"/>
                </c:ext>
                <c:ext xmlns:c16="http://schemas.microsoft.com/office/drawing/2014/chart" uri="{C3380CC4-5D6E-409C-BE32-E72D297353CC}">
                  <c16:uniqueId val="{00000029-EC8A-42E0-9CF3-4722C7267531}"/>
                </c:ext>
              </c:extLst>
            </c:dLbl>
            <c:dLbl>
              <c:idx val="4"/>
              <c:tx>
                <c:strRef>
                  <c:f>'Ch2. Cross filings'!$F$20</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{1737CD1C-E2F9-452C-A0C5-64F06A017B8C}</c15:txfldGUID>
                      <c15:f>'Ch2. Cross filings'!$F$20</c15:f>
                      <c15:dlblFieldTableCache>
                        <c:ptCount val="1"/>
                        <c:pt idx="0">
                          <c:v>12%</c:v>
                        </c:pt>
                      </c15:dlblFieldTableCache>
                    </c15:dlblFTEntry>
                  </c15:dlblFieldTable>
                  <c15:showDataLabelsRange val="0"/>
                </c:ext>
                <c:ext xmlns:c16="http://schemas.microsoft.com/office/drawing/2014/chart" uri="{C3380CC4-5D6E-409C-BE32-E72D297353CC}">
                  <c16:uniqueId val="{0000002A-EC8A-42E0-9CF3-4722C7267531}"/>
                </c:ext>
              </c:extLst>
            </c:dLbl>
            <c:dLbl>
              <c:idx val="5"/>
              <c:tx>
                <c:strRef>
                  <c:f>'Ch2. Cross filings'!$G$20</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{E8B8F56E-7236-4632-A6E4-B33BBC5D8EE6}</c15:txfldGUID>
                      <c15:f>'Ch2. Cross filings'!$G$20</c15:f>
                      <c15:dlblFieldTableCache>
                        <c:ptCount val="1"/>
                        <c:pt idx="0">
                          <c:v>12%</c:v>
                        </c:pt>
                      </c15:dlblFieldTableCache>
                    </c15:dlblFTEntry>
                  </c15:dlblFieldTable>
                  <c15:showDataLabelsRange val="0"/>
                </c:ext>
                <c:ext xmlns:c16="http://schemas.microsoft.com/office/drawing/2014/chart" uri="{C3380CC4-5D6E-409C-BE32-E72D297353CC}">
                  <c16:uniqueId val="{0000002B-EC8A-42E0-9CF3-4722C7267531}"/>
                </c:ext>
              </c:extLst>
            </c:dLbl>
            <c:dLbl>
              <c:idx val="6"/>
              <c:tx>
                <c:strRef>
                  <c:f>'Ch2. Cross filings'!$H$20</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{067771D4-1CEF-458C-AD79-750EBD6E1BEE}</c15:txfldGUID>
                      <c15:f>'Ch2. Cross filings'!$H$20</c15:f>
                      <c15:dlblFieldTableCache>
                        <c:ptCount val="1"/>
                        <c:pt idx="0">
                          <c:v>11%</c:v>
                        </c:pt>
                      </c15:dlblFieldTableCache>
                    </c15:dlblFTEntry>
                  </c15:dlblFieldTable>
                  <c15:showDataLabelsRange val="0"/>
                </c:ext>
                <c:ext xmlns:c16="http://schemas.microsoft.com/office/drawing/2014/chart" uri="{C3380CC4-5D6E-409C-BE32-E72D297353CC}">
                  <c16:uniqueId val="{0000002C-EC8A-42E0-9CF3-4722C7267531}"/>
                </c:ext>
              </c:extLst>
            </c:dLbl>
            <c:dLbl>
              <c:idx val="7"/>
              <c:tx>
                <c:strRef>
                  <c:f>'Ch2. Cross filings'!$I$20</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{80395E8F-EE23-437A-B94D-60946F5F4221}</c15:txfldGUID>
                      <c15:f>'Ch2. Cross filings'!$I$20</c15:f>
                      <c15:dlblFieldTableCache>
                        <c:ptCount val="1"/>
                        <c:pt idx="0">
                          <c:v>10%</c:v>
                        </c:pt>
                      </c15:dlblFieldTableCache>
                    </c15:dlblFTEntry>
                  </c15:dlblFieldTable>
                  <c15:showDataLabelsRange val="0"/>
                </c:ext>
                <c:ext xmlns:c16="http://schemas.microsoft.com/office/drawing/2014/chart" uri="{C3380CC4-5D6E-409C-BE32-E72D297353CC}">
                  <c16:uniqueId val="{0000002D-EC8A-42E0-9CF3-4722C7267531}"/>
                </c:ext>
              </c:extLst>
            </c:dLbl>
            <c:dLbl>
              <c:idx val="8"/>
              <c:tx>
                <c:strRef>
                  <c:f>'Ch2. Cross filings'!$J$20</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{1C2B9CAD-77E2-4CD6-B0B0-2955B657C6EB}</c15:txfldGUID>
                      <c15:f>'Ch2. Cross filings'!$J$20</c15:f>
                      <c15:dlblFieldTableCache>
                        <c:ptCount val="1"/>
                        <c:pt idx="0">
                          <c:v>10%</c:v>
                        </c:pt>
                      </c15:dlblFieldTableCache>
                    </c15:dlblFTEntry>
                  </c15:dlblFieldTable>
                  <c15:showDataLabelsRange val="0"/>
                </c:ext>
                <c:ext xmlns:c16="http://schemas.microsoft.com/office/drawing/2014/chart" uri="{C3380CC4-5D6E-409C-BE32-E72D297353CC}">
                  <c16:uniqueId val="{0000002E-EC8A-42E0-9CF3-4722C7267531}"/>
                </c:ext>
              </c:extLst>
            </c:dLbl>
            <c:dLbl>
              <c:idx val="9"/>
              <c:tx>
                <c:strRef>
                  <c:f>'Ch2. Cross filings'!$K$20</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{FF6132C5-40C0-4C98-BF69-FCCFB6EAF87E}</c15:txfldGUID>
                      <c15:f>'Ch2. Cross filings'!$K$20</c15:f>
                      <c15:dlblFieldTableCache>
                        <c:ptCount val="1"/>
                        <c:pt idx="0">
                          <c:v>11%</c:v>
                        </c:pt>
                      </c15:dlblFieldTableCache>
                    </c15:dlblFTEntry>
                  </c15:dlblFieldTable>
                  <c15:showDataLabelsRange val="0"/>
                </c:ext>
                <c:ext xmlns:c16="http://schemas.microsoft.com/office/drawing/2014/chart" uri="{C3380CC4-5D6E-409C-BE32-E72D297353CC}">
                  <c16:uniqueId val="{0000002F-EC8A-42E0-9CF3-4722C7267531}"/>
                </c:ext>
              </c:extLst>
            </c:dLbl>
            <c:dLbl>
              <c:idx val="10"/>
              <c:tx>
                <c:rich>
                  <a:bodyPr/>
                  <a:lstStyle/>
                  <a:p>
                    <a:r>
                      <a:rPr lang="en-US"/>
                      <a:t>11%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filings'!$B$10:$L$10</c:f>
              <c:numCache>
                <c:formatCode>#,##0</c:formatCode>
                <c:ptCount val="11"/>
                <c:pt idx="0">
                  <c:v>22686</c:v>
                </c:pt>
                <c:pt idx="1">
                  <c:v>24247</c:v>
                </c:pt>
                <c:pt idx="2">
                  <c:v>25654</c:v>
                </c:pt>
                <c:pt idx="3">
                  <c:v>28839</c:v>
                </c:pt>
                <c:pt idx="4">
                  <c:v>32036</c:v>
                </c:pt>
                <c:pt idx="5">
                  <c:v>32577</c:v>
                </c:pt>
                <c:pt idx="6">
                  <c:v>30863</c:v>
                </c:pt>
                <c:pt idx="7">
                  <c:v>29421</c:v>
                </c:pt>
                <c:pt idx="8">
                  <c:v>30189</c:v>
                </c:pt>
                <c:pt idx="9">
                  <c:v>32871</c:v>
                </c:pt>
                <c:pt idx="10" formatCode="General">
                  <c:v>35871</c:v>
                </c:pt>
              </c:numCache>
            </c:numRef>
          </c:val>
          <c:extLst>
            <c:ext xmlns:c16="http://schemas.microsoft.com/office/drawing/2014/chart" uri="{C3380CC4-5D6E-409C-BE32-E72D297353CC}">
              <c16:uniqueId val="{00000002-EC8A-42E0-9CF3-4722C7267531}"/>
            </c:ext>
          </c:extLst>
        </c:ser>
        <c:ser>
          <c:idx val="1"/>
          <c:order val="4"/>
          <c:tx>
            <c:strRef>
              <c:f>'Ch2. Cross filings'!$A$9</c:f>
              <c:strCache>
                <c:ptCount val="1"/>
                <c:pt idx="0">
                  <c:v>Japan</c:v>
                </c:pt>
              </c:strCache>
            </c:strRef>
          </c:tx>
          <c:spPr>
            <a:solidFill>
              <a:srgbClr val="FF0000"/>
            </a:solidFill>
            <a:ln>
              <a:noFill/>
            </a:ln>
            <a:effectLst/>
          </c:spPr>
          <c:invertIfNegative val="0"/>
          <c:dLbls>
            <c:dLbl>
              <c:idx val="0"/>
              <c:tx>
                <c:strRef>
                  <c:f>'Ch2. Cross filings'!$B$19</c:f>
                  <c:strCache>
                    <c:ptCount val="1"/>
                    <c:pt idx="0">
                      <c:v>33%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{C299E337-8917-4C78-9728-A56FC5B542FD}</c15:txfldGUID>
                      <c15:f>'Ch2. Cross filings'!$B$19</c15:f>
                      <c15:dlblFieldTableCache>
                        <c:ptCount val="1"/>
                        <c:pt idx="0">
                          <c:v>33%</c:v>
                        </c:pt>
                      </c15:dlblFieldTableCache>
                    </c15:dlblFTEntry>
                  </c15:dlblFieldTable>
                  <c15:showDataLabelsRange val="0"/>
                </c:ext>
                <c:ext xmlns:c16="http://schemas.microsoft.com/office/drawing/2014/chart" uri="{C3380CC4-5D6E-409C-BE32-E72D297353CC}">
                  <c16:uniqueId val="{00000030-EC8A-42E0-9CF3-4722C7267531}"/>
                </c:ext>
              </c:extLst>
            </c:dLbl>
            <c:dLbl>
              <c:idx val="1"/>
              <c:tx>
                <c:strRef>
                  <c:f>'Ch2. Cross filings'!$C$19</c:f>
                  <c:strCache>
                    <c:ptCount val="1"/>
                    <c:pt idx="0">
                      <c:v>34%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{0356D4FA-B745-4195-8FC5-3969ED1261F7}</c15:txfldGUID>
                      <c15:f>'Ch2. Cross filings'!$C$19</c15:f>
                      <c15:dlblFieldTableCache>
                        <c:ptCount val="1"/>
                        <c:pt idx="0">
                          <c:v>34%</c:v>
                        </c:pt>
                      </c15:dlblFieldTableCache>
                    </c15:dlblFTEntry>
                  </c15:dlblFieldTable>
                  <c15:showDataLabelsRange val="0"/>
                </c:ext>
                <c:ext xmlns:c16="http://schemas.microsoft.com/office/drawing/2014/chart" uri="{C3380CC4-5D6E-409C-BE32-E72D297353CC}">
                  <c16:uniqueId val="{00000031-EC8A-42E0-9CF3-4722C7267531}"/>
                </c:ext>
              </c:extLst>
            </c:dLbl>
            <c:dLbl>
              <c:idx val="2"/>
              <c:tx>
                <c:strRef>
                  <c:f>'Ch2. Cross filings'!$D$19</c:f>
                  <c:strCache>
                    <c:ptCount val="1"/>
                    <c:pt idx="0">
                      <c:v>33%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{12884D0C-6001-4A9A-AC7B-4CAD6B9678CE}</c15:txfldGUID>
                      <c15:f>'Ch2. Cross filings'!$D$19</c15:f>
                      <c15:dlblFieldTableCache>
                        <c:ptCount val="1"/>
                        <c:pt idx="0">
                          <c:v>33%</c:v>
                        </c:pt>
                      </c15:dlblFieldTableCache>
                    </c15:dlblFTEntry>
                  </c15:dlblFieldTable>
                  <c15:showDataLabelsRange val="0"/>
                </c:ext>
                <c:ext xmlns:c16="http://schemas.microsoft.com/office/drawing/2014/chart" uri="{C3380CC4-5D6E-409C-BE32-E72D297353CC}">
                  <c16:uniqueId val="{00000032-EC8A-42E0-9CF3-4722C7267531}"/>
                </c:ext>
              </c:extLst>
            </c:dLbl>
            <c:dLbl>
              <c:idx val="3"/>
              <c:tx>
                <c:strRef>
                  <c:f>'Ch2. Cross filings'!$E$19</c:f>
                  <c:strCache>
                    <c:ptCount val="1"/>
                    <c:pt idx="0">
                      <c:v>30%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{F0D4AA17-1DFF-4645-A26F-711B4DD9CA86}</c15:txfldGUID>
                      <c15:f>'Ch2. Cross filings'!$E$19</c15:f>
                      <c15:dlblFieldTableCache>
                        <c:ptCount val="1"/>
                        <c:pt idx="0">
                          <c:v>30%</c:v>
                        </c:pt>
                      </c15:dlblFieldTableCache>
                    </c15:dlblFTEntry>
                  </c15:dlblFieldTable>
                  <c15:showDataLabelsRange val="0"/>
                </c:ext>
                <c:ext xmlns:c16="http://schemas.microsoft.com/office/drawing/2014/chart" uri="{C3380CC4-5D6E-409C-BE32-E72D297353CC}">
                  <c16:uniqueId val="{00000033-EC8A-42E0-9CF3-4722C7267531}"/>
                </c:ext>
              </c:extLst>
            </c:dLbl>
            <c:dLbl>
              <c:idx val="4"/>
              <c:tx>
                <c:strRef>
                  <c:f>'Ch2. Cross filings'!$F$19</c:f>
                  <c:strCache>
                    <c:ptCount val="1"/>
                    <c:pt idx="0">
                      <c:v>29%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{B9D04FEF-F9CA-4375-A2BC-0A681379B643}</c15:txfldGUID>
                      <c15:f>'Ch2. Cross filings'!$F$19</c15:f>
                      <c15:dlblFieldTableCache>
                        <c:ptCount val="1"/>
                        <c:pt idx="0">
                          <c:v>29%</c:v>
                        </c:pt>
                      </c15:dlblFieldTableCache>
                    </c15:dlblFTEntry>
                  </c15:dlblFieldTable>
                  <c15:showDataLabelsRange val="0"/>
                </c:ext>
                <c:ext xmlns:c16="http://schemas.microsoft.com/office/drawing/2014/chart" uri="{C3380CC4-5D6E-409C-BE32-E72D297353CC}">
                  <c16:uniqueId val="{00000034-EC8A-42E0-9CF3-4722C7267531}"/>
                </c:ext>
              </c:extLst>
            </c:dLbl>
            <c:dLbl>
              <c:idx val="5"/>
              <c:tx>
                <c:strRef>
                  <c:f>'Ch2. Cross filings'!$G$19</c:f>
                  <c:strCache>
                    <c:ptCount val="1"/>
                    <c:pt idx="0">
                      <c:v>29%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{94FDD814-98E6-4195-B743-306FCE4727F9}</c15:txfldGUID>
                      <c15:f>'Ch2. Cross filings'!$G$19</c15:f>
                      <c15:dlblFieldTableCache>
                        <c:ptCount val="1"/>
                        <c:pt idx="0">
                          <c:v>29%</c:v>
                        </c:pt>
                      </c15:dlblFieldTableCache>
                    </c15:dlblFTEntry>
                  </c15:dlblFieldTable>
                  <c15:showDataLabelsRange val="0"/>
                </c:ext>
                <c:ext xmlns:c16="http://schemas.microsoft.com/office/drawing/2014/chart" uri="{C3380CC4-5D6E-409C-BE32-E72D297353CC}">
                  <c16:uniqueId val="{00000035-EC8A-42E0-9CF3-4722C7267531}"/>
                </c:ext>
              </c:extLst>
            </c:dLbl>
            <c:dLbl>
              <c:idx val="6"/>
              <c:tx>
                <c:strRef>
                  <c:f>'Ch2. Cross filings'!$H$19</c:f>
                  <c:strCache>
                    <c:ptCount val="1"/>
                    <c:pt idx="0">
                      <c:v>28%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{1DD4095B-5F17-467B-8A8A-EC53D656478C}</c15:txfldGUID>
                      <c15:f>'Ch2. Cross filings'!$H$19</c15:f>
                      <c15:dlblFieldTableCache>
                        <c:ptCount val="1"/>
                        <c:pt idx="0">
                          <c:v>28%</c:v>
                        </c:pt>
                      </c15:dlblFieldTableCache>
                    </c15:dlblFTEntry>
                  </c15:dlblFieldTable>
                  <c15:showDataLabelsRange val="0"/>
                </c:ext>
                <c:ext xmlns:c16="http://schemas.microsoft.com/office/drawing/2014/chart" uri="{C3380CC4-5D6E-409C-BE32-E72D297353CC}">
                  <c16:uniqueId val="{00000036-EC8A-42E0-9CF3-4722C7267531}"/>
                </c:ext>
              </c:extLst>
            </c:dLbl>
            <c:dLbl>
              <c:idx val="7"/>
              <c:tx>
                <c:strRef>
                  <c:f>'Ch2. Cross filings'!$I$19</c:f>
                  <c:strCache>
                    <c:ptCount val="1"/>
                    <c:pt idx="0">
                      <c:v>28%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{8491EED2-CD5A-4D69-9CFB-8026179753F9}</c15:txfldGUID>
                      <c15:f>'Ch2. Cross filings'!$I$19</c15:f>
                      <c15:dlblFieldTableCache>
                        <c:ptCount val="1"/>
                        <c:pt idx="0">
                          <c:v>28%</c:v>
                        </c:pt>
                      </c15:dlblFieldTableCache>
                    </c15:dlblFTEntry>
                  </c15:dlblFieldTable>
                  <c15:showDataLabelsRange val="0"/>
                </c:ext>
                <c:ext xmlns:c16="http://schemas.microsoft.com/office/drawing/2014/chart" uri="{C3380CC4-5D6E-409C-BE32-E72D297353CC}">
                  <c16:uniqueId val="{00000037-EC8A-42E0-9CF3-4722C7267531}"/>
                </c:ext>
              </c:extLst>
            </c:dLbl>
            <c:dLbl>
              <c:idx val="8"/>
              <c:tx>
                <c:strRef>
                  <c:f>'Ch2. Cross filings'!$J$19</c:f>
                  <c:strCache>
                    <c:ptCount val="1"/>
                    <c:pt idx="0">
                      <c:v>27%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{4E41C066-C48D-44A7-8C50-ADAE0C77AB32}</c15:txfldGUID>
                      <c15:f>'Ch2. Cross filings'!$J$19</c15:f>
                      <c15:dlblFieldTableCache>
                        <c:ptCount val="1"/>
                        <c:pt idx="0">
                          <c:v>27%</c:v>
                        </c:pt>
                      </c15:dlblFieldTableCache>
                    </c15:dlblFTEntry>
                  </c15:dlblFieldTable>
                  <c15:showDataLabelsRange val="0"/>
                </c:ext>
                <c:ext xmlns:c16="http://schemas.microsoft.com/office/drawing/2014/chart" uri="{C3380CC4-5D6E-409C-BE32-E72D297353CC}">
                  <c16:uniqueId val="{00000038-EC8A-42E0-9CF3-4722C7267531}"/>
                </c:ext>
              </c:extLst>
            </c:dLbl>
            <c:dLbl>
              <c:idx val="9"/>
              <c:tx>
                <c:strRef>
                  <c:f>'Ch2. Cross filings'!$K$19</c:f>
                  <c:strCache>
                    <c:ptCount val="1"/>
                    <c:pt idx="0">
                      <c:v>27%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{57CE63F7-9364-4837-A22E-90886A6FA801}</c15:txfldGUID>
                      <c15:f>'Ch2. Cross filings'!$K$19</c15:f>
                      <c15:dlblFieldTableCache>
                        <c:ptCount val="1"/>
                        <c:pt idx="0">
                          <c:v>27%</c:v>
                        </c:pt>
                      </c15:dlblFieldTableCache>
                    </c15:dlblFTEntry>
                  </c15:dlblFieldTable>
                  <c15:showDataLabelsRange val="0"/>
                </c:ext>
                <c:ext xmlns:c16="http://schemas.microsoft.com/office/drawing/2014/chart" uri="{C3380CC4-5D6E-409C-BE32-E72D297353CC}">
                  <c16:uniqueId val="{00000039-EC8A-42E0-9CF3-4722C7267531}"/>
                </c:ext>
              </c:extLst>
            </c:dLbl>
            <c:dLbl>
              <c:idx val="10"/>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filings'!$B$9:$L$9</c:f>
              <c:numCache>
                <c:formatCode>#,##0</c:formatCode>
                <c:ptCount val="11"/>
                <c:pt idx="0">
                  <c:v>74286</c:v>
                </c:pt>
                <c:pt idx="1">
                  <c:v>81221</c:v>
                </c:pt>
                <c:pt idx="2">
                  <c:v>82470</c:v>
                </c:pt>
                <c:pt idx="3">
                  <c:v>78967</c:v>
                </c:pt>
                <c:pt idx="4">
                  <c:v>78360</c:v>
                </c:pt>
                <c:pt idx="5">
                  <c:v>79016</c:v>
                </c:pt>
                <c:pt idx="6">
                  <c:v>78808</c:v>
                </c:pt>
                <c:pt idx="7">
                  <c:v>80268</c:v>
                </c:pt>
                <c:pt idx="8">
                  <c:v>81114</c:v>
                </c:pt>
                <c:pt idx="9">
                  <c:v>81989</c:v>
                </c:pt>
                <c:pt idx="10" formatCode="General">
                  <c:v>77426</c:v>
                </c:pt>
              </c:numCache>
            </c:numRef>
          </c:val>
          <c:extLst>
            <c:ext xmlns:c16="http://schemas.microsoft.com/office/drawing/2014/chart" uri="{C3380CC4-5D6E-409C-BE32-E72D297353CC}">
              <c16:uniqueId val="{00000001-EC8A-42E0-9CF3-4722C7267531}"/>
            </c:ext>
          </c:extLst>
        </c:ser>
        <c:ser>
          <c:idx val="0"/>
          <c:order val="5"/>
          <c:tx>
            <c:strRef>
              <c:f>'Ch2. Cross filings'!$A$8</c:f>
              <c:strCache>
                <c:ptCount val="1"/>
                <c:pt idx="0">
                  <c:v>EPC states</c:v>
                </c:pt>
              </c:strCache>
            </c:strRef>
          </c:tx>
          <c:spPr>
            <a:solidFill>
              <a:schemeClr val="accent1"/>
            </a:solidFill>
            <a:ln>
              <a:noFill/>
            </a:ln>
            <a:effectLst/>
          </c:spPr>
          <c:invertIfNegative val="0"/>
          <c:dLbls>
            <c:dLbl>
              <c:idx val="0"/>
              <c:tx>
                <c:strRef>
                  <c:f>'Ch2. Cross filings'!$B$18</c:f>
                  <c:strCache>
                    <c:ptCount val="1"/>
                    <c:pt idx="0">
                      <c:v>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{0AB7EA72-B52F-46D7-9A65-766986F464A2}</c15:txfldGUID>
                      <c15:f>'Ch2. Cross filings'!$B$18</c15:f>
                      <c15:dlblFieldTableCache>
                        <c:ptCount val="1"/>
                        <c:pt idx="0">
                          <c:v>18%</c:v>
                        </c:pt>
                      </c15:dlblFieldTableCache>
                    </c15:dlblFTEntry>
                  </c15:dlblFieldTable>
                  <c15:showDataLabelsRange val="0"/>
                </c:ext>
                <c:ext xmlns:c16="http://schemas.microsoft.com/office/drawing/2014/chart" uri="{C3380CC4-5D6E-409C-BE32-E72D297353CC}">
                  <c16:uniqueId val="{0000003A-EC8A-42E0-9CF3-4722C7267531}"/>
                </c:ext>
              </c:extLst>
            </c:dLbl>
            <c:dLbl>
              <c:idx val="1"/>
              <c:tx>
                <c:strRef>
                  <c:f>'Ch2. Cross filings'!$C$18</c:f>
                  <c:strCache>
                    <c:ptCount val="1"/>
                    <c:pt idx="0">
                      <c:v>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{1955ED09-A3D8-49F9-939C-80EA37041246}</c15:txfldGUID>
                      <c15:f>'Ch2. Cross filings'!$C$18</c15:f>
                      <c15:dlblFieldTableCache>
                        <c:ptCount val="1"/>
                        <c:pt idx="0">
                          <c:v>18%</c:v>
                        </c:pt>
                      </c15:dlblFieldTableCache>
                    </c15:dlblFTEntry>
                  </c15:dlblFieldTable>
                  <c15:showDataLabelsRange val="0"/>
                </c:ext>
                <c:ext xmlns:c16="http://schemas.microsoft.com/office/drawing/2014/chart" uri="{C3380CC4-5D6E-409C-BE32-E72D297353CC}">
                  <c16:uniqueId val="{0000003B-EC8A-42E0-9CF3-4722C7267531}"/>
                </c:ext>
              </c:extLst>
            </c:dLbl>
            <c:dLbl>
              <c:idx val="2"/>
              <c:tx>
                <c:strRef>
                  <c:f>'Ch2. Cross filings'!$D$18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{0411C7FB-1B60-42E3-B6A0-A68B3D29C07D}</c15:txfldGUID>
                      <c15:f>'Ch2. Cross filings'!$D$18</c15:f>
                      <c15:dlblFieldTableCache>
                        <c:ptCount val="1"/>
                        <c:pt idx="0">
                          <c:v>17%</c:v>
                        </c:pt>
                      </c15:dlblFieldTableCache>
                    </c15:dlblFTEntry>
                  </c15:dlblFieldTable>
                  <c15:showDataLabelsRange val="0"/>
                </c:ext>
                <c:ext xmlns:c16="http://schemas.microsoft.com/office/drawing/2014/chart" uri="{C3380CC4-5D6E-409C-BE32-E72D297353CC}">
                  <c16:uniqueId val="{0000003C-EC8A-42E0-9CF3-4722C7267531}"/>
                </c:ext>
              </c:extLst>
            </c:dLbl>
            <c:dLbl>
              <c:idx val="3"/>
              <c:tx>
                <c:strRef>
                  <c:f>'Ch2. Cross filings'!$E$18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{49664BF6-5A06-432A-81D5-6EA10DD0A71D}</c15:txfldGUID>
                      <c15:f>'Ch2. Cross filings'!$E$18</c15:f>
                      <c15:dlblFieldTableCache>
                        <c:ptCount val="1"/>
                        <c:pt idx="0">
                          <c:v>17%</c:v>
                        </c:pt>
                      </c15:dlblFieldTableCache>
                    </c15:dlblFTEntry>
                  </c15:dlblFieldTable>
                  <c15:showDataLabelsRange val="0"/>
                </c:ext>
                <c:ext xmlns:c16="http://schemas.microsoft.com/office/drawing/2014/chart" uri="{C3380CC4-5D6E-409C-BE32-E72D297353CC}">
                  <c16:uniqueId val="{0000003D-EC8A-42E0-9CF3-4722C7267531}"/>
                </c:ext>
              </c:extLst>
            </c:dLbl>
            <c:dLbl>
              <c:idx val="4"/>
              <c:tx>
                <c:strRef>
                  <c:f>'Ch2. Cross filings'!$F$18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{75709805-3478-4976-B1DF-D653FDFEC50C}</c15:txfldGUID>
                      <c15:f>'Ch2. Cross filings'!$F$18</c15:f>
                      <c15:dlblFieldTableCache>
                        <c:ptCount val="1"/>
                        <c:pt idx="0">
                          <c:v>17%</c:v>
                        </c:pt>
                      </c15:dlblFieldTableCache>
                    </c15:dlblFTEntry>
                  </c15:dlblFieldTable>
                  <c15:showDataLabelsRange val="0"/>
                </c:ext>
                <c:ext xmlns:c16="http://schemas.microsoft.com/office/drawing/2014/chart" uri="{C3380CC4-5D6E-409C-BE32-E72D297353CC}">
                  <c16:uniqueId val="{0000003E-EC8A-42E0-9CF3-4722C7267531}"/>
                </c:ext>
              </c:extLst>
            </c:dLbl>
            <c:dLbl>
              <c:idx val="5"/>
              <c:tx>
                <c:strRef>
                  <c:f>'Ch2. Cross filings'!$G$18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{685F9DCC-239F-4C2C-AAA2-C0036C99FE96}</c15:txfldGUID>
                      <c15:f>'Ch2. Cross filings'!$G$18</c15:f>
                      <c15:dlblFieldTableCache>
                        <c:ptCount val="1"/>
                        <c:pt idx="0">
                          <c:v>17%</c:v>
                        </c:pt>
                      </c15:dlblFieldTableCache>
                    </c15:dlblFTEntry>
                  </c15:dlblFieldTable>
                  <c15:showDataLabelsRange val="0"/>
                </c:ext>
                <c:ext xmlns:c16="http://schemas.microsoft.com/office/drawing/2014/chart" uri="{C3380CC4-5D6E-409C-BE32-E72D297353CC}">
                  <c16:uniqueId val="{0000003F-EC8A-42E0-9CF3-4722C7267531}"/>
                </c:ext>
              </c:extLst>
            </c:dLbl>
            <c:dLbl>
              <c:idx val="6"/>
              <c:tx>
                <c:strRef>
                  <c:f>'Ch2. Cross filings'!$H$18</c:f>
                  <c:strCache>
                    <c:ptCount val="1"/>
                    <c:pt idx="0">
                      <c:v>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{783C10F8-4593-4CC4-BDD5-4E932359D38E}</c15:txfldGUID>
                      <c15:f>'Ch2. Cross filings'!$H$18</c15:f>
                      <c15:dlblFieldTableCache>
                        <c:ptCount val="1"/>
                        <c:pt idx="0">
                          <c:v>18%</c:v>
                        </c:pt>
                      </c15:dlblFieldTableCache>
                    </c15:dlblFTEntry>
                  </c15:dlblFieldTable>
                  <c15:showDataLabelsRange val="0"/>
                </c:ext>
                <c:ext xmlns:c16="http://schemas.microsoft.com/office/drawing/2014/chart" uri="{C3380CC4-5D6E-409C-BE32-E72D297353CC}">
                  <c16:uniqueId val="{00000040-EC8A-42E0-9CF3-4722C7267531}"/>
                </c:ext>
              </c:extLst>
            </c:dLbl>
            <c:dLbl>
              <c:idx val="7"/>
              <c:tx>
                <c:strRef>
                  <c:f>'Ch2. Cross filings'!$I$18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{317368AC-F979-4A87-8C29-447C163ABF45}</c15:txfldGUID>
                      <c15:f>'Ch2. Cross filings'!$I$18</c15:f>
                      <c15:dlblFieldTableCache>
                        <c:ptCount val="1"/>
                        <c:pt idx="0">
                          <c:v>17%</c:v>
                        </c:pt>
                      </c15:dlblFieldTableCache>
                    </c15:dlblFTEntry>
                  </c15:dlblFieldTable>
                  <c15:showDataLabelsRange val="0"/>
                </c:ext>
                <c:ext xmlns:c16="http://schemas.microsoft.com/office/drawing/2014/chart" uri="{C3380CC4-5D6E-409C-BE32-E72D297353CC}">
                  <c16:uniqueId val="{00000041-EC8A-42E0-9CF3-4722C7267531}"/>
                </c:ext>
              </c:extLst>
            </c:dLbl>
            <c:dLbl>
              <c:idx val="8"/>
              <c:tx>
                <c:strRef>
                  <c:f>'Ch2. Cross filings'!$J$18</c:f>
                  <c:strCache>
                    <c:ptCount val="1"/>
                    <c:pt idx="0">
                      <c:v>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{402576ED-4B58-49AC-B1FC-AA064826401A}</c15:txfldGUID>
                      <c15:f>'Ch2. Cross filings'!$J$18</c15:f>
                      <c15:dlblFieldTableCache>
                        <c:ptCount val="1"/>
                        <c:pt idx="0">
                          <c:v>17%</c:v>
                        </c:pt>
                      </c15:dlblFieldTableCache>
                    </c15:dlblFTEntry>
                  </c15:dlblFieldTable>
                  <c15:showDataLabelsRange val="0"/>
                </c:ext>
                <c:ext xmlns:c16="http://schemas.microsoft.com/office/drawing/2014/chart" uri="{C3380CC4-5D6E-409C-BE32-E72D297353CC}">
                  <c16:uniqueId val="{00000042-EC8A-42E0-9CF3-4722C7267531}"/>
                </c:ext>
              </c:extLst>
            </c:dLbl>
            <c:dLbl>
              <c:idx val="9"/>
              <c:tx>
                <c:strRef>
                  <c:f>'Ch2. Cross filings'!$K$18</c:f>
                  <c:strCache>
                    <c:ptCount val="1"/>
                    <c:pt idx="0">
                      <c:v>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{57E008C7-E831-47DF-9E12-87136CF1E0B3}</c15:txfldGUID>
                      <c15:f>'Ch2. Cross filings'!$K$18</c15:f>
                      <c15:dlblFieldTableCache>
                        <c:ptCount val="1"/>
                        <c:pt idx="0">
                          <c:v>16%</c:v>
                        </c:pt>
                      </c15:dlblFieldTableCache>
                    </c15:dlblFTEntry>
                  </c15:dlblFieldTable>
                  <c15:showDataLabelsRange val="0"/>
                </c:ext>
                <c:ext xmlns:c16="http://schemas.microsoft.com/office/drawing/2014/chart" uri="{C3380CC4-5D6E-409C-BE32-E72D297353CC}">
                  <c16:uniqueId val="{00000043-EC8A-42E0-9CF3-4722C7267531}"/>
                </c:ext>
              </c:extLst>
            </c:dLbl>
            <c:dLbl>
              <c:idx val="10"/>
              <c:tx>
                <c:rich>
                  <a:bodyPr/>
                  <a:lstStyle/>
                  <a:p>
                    <a:r>
                      <a:rPr lang="en-US"/>
                      <a:t>17%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E8-467C-A1F0-CADE2AEF9C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filings'!$B$8:$L$8</c:f>
              <c:numCache>
                <c:formatCode>#,##0</c:formatCode>
                <c:ptCount val="11"/>
                <c:pt idx="0">
                  <c:v>40900</c:v>
                </c:pt>
                <c:pt idx="1">
                  <c:v>42192</c:v>
                </c:pt>
                <c:pt idx="2">
                  <c:v>43238</c:v>
                </c:pt>
                <c:pt idx="3">
                  <c:v>43474</c:v>
                </c:pt>
                <c:pt idx="4">
                  <c:v>45976</c:v>
                </c:pt>
                <c:pt idx="5">
                  <c:v>47284</c:v>
                </c:pt>
                <c:pt idx="6">
                  <c:v>48817</c:v>
                </c:pt>
                <c:pt idx="7">
                  <c:v>49313</c:v>
                </c:pt>
                <c:pt idx="8">
                  <c:v>50799</c:v>
                </c:pt>
                <c:pt idx="9">
                  <c:v>48988</c:v>
                </c:pt>
                <c:pt idx="10" formatCode="General">
                  <c:v>52560</c:v>
                </c:pt>
              </c:numCache>
            </c:numRef>
          </c:val>
          <c:extLst>
            <c:ext xmlns:c16="http://schemas.microsoft.com/office/drawing/2014/chart" uri="{C3380CC4-5D6E-409C-BE32-E72D297353CC}">
              <c16:uniqueId val="{00000000-EC8A-42E0-9CF3-4722C726753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filings'!$B$7:$L$7</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'Ch2. Cross filings'!$B$14:$L$14</c:f>
              <c:numCache>
                <c:formatCode>#,##0</c:formatCode>
                <c:ptCount val="11"/>
                <c:pt idx="0">
                  <c:v>223465</c:v>
                </c:pt>
                <c:pt idx="1">
                  <c:v>240586</c:v>
                </c:pt>
                <c:pt idx="2">
                  <c:v>252140</c:v>
                </c:pt>
                <c:pt idx="3">
                  <c:v>263185</c:v>
                </c:pt>
                <c:pt idx="4">
                  <c:v>272067</c:v>
                </c:pt>
                <c:pt idx="5">
                  <c:v>272631</c:v>
                </c:pt>
                <c:pt idx="6">
                  <c:v>277237</c:v>
                </c:pt>
                <c:pt idx="7">
                  <c:v>284000</c:v>
                </c:pt>
                <c:pt idx="8">
                  <c:v>297748</c:v>
                </c:pt>
                <c:pt idx="9">
                  <c:v>305687</c:v>
                </c:pt>
                <c:pt idx="10">
                  <c:v>315433</c:v>
                </c:pt>
              </c:numCache>
            </c:numRef>
          </c:val>
          <c:extLst>
            <c:ext xmlns:c16="http://schemas.microsoft.com/office/drawing/2014/chart" uri="{C3380CC4-5D6E-409C-BE32-E72D297353CC}">
              <c16:uniqueId val="{00000006-EC8A-42E0-9CF3-4722C7267531}"/>
            </c:ext>
          </c:extLst>
        </c:ser>
        <c:dLbls>
          <c:showLegendKey val="0"/>
          <c:showVal val="0"/>
          <c:showCatName val="0"/>
          <c:showSerName val="0"/>
          <c:showPercent val="0"/>
          <c:showBubbleSize val="0"/>
        </c:dLbls>
        <c:gapWidth val="10"/>
        <c:overlap val="100"/>
        <c:axId val="830938880"/>
        <c:axId val="830941176"/>
      </c:barChart>
      <c:catAx>
        <c:axId val="83093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30941176"/>
        <c:crosses val="autoZero"/>
        <c:auto val="1"/>
        <c:lblAlgn val="ctr"/>
        <c:lblOffset val="100"/>
        <c:noMultiLvlLbl val="0"/>
      </c:catAx>
      <c:valAx>
        <c:axId val="830941176"/>
        <c:scaling>
          <c:orientation val="minMax"/>
          <c:max val="320000"/>
        </c:scaling>
        <c:delete val="1"/>
        <c:axPos val="l"/>
        <c:numFmt formatCode="#,##0" sourceLinked="1"/>
        <c:majorTickMark val="none"/>
        <c:minorTickMark val="none"/>
        <c:tickLblPos val="nextTo"/>
        <c:crossAx val="830938880"/>
        <c:crosses val="autoZero"/>
        <c:crossBetween val="between"/>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2.4: IP5 CROSS </a:t>
            </a:r>
            <a:r>
              <a:rPr lang="en-GB" b="1" baseline="0"/>
              <a:t>FILINGS - OFFICES INVOLVED</a:t>
            </a:r>
            <a:endParaRPr lang="en-GB" b="1"/>
          </a:p>
        </c:rich>
      </c:tx>
      <c:layout>
        <c:manualLayout>
          <c:xMode val="edge"/>
          <c:yMode val="edge"/>
          <c:x val="3.9952509492501204E-2"/>
          <c:y val="2.216066481994459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'Ch2. Cross filings'!$A$43</c:f>
              <c:strCache>
                <c:ptCount val="1"/>
                <c:pt idx="0">
                  <c:v>Bilateral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filings'!$B$41:$L$42</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'Ch2. Cross filings'!$B$43:$L$43</c:f>
              <c:numCache>
                <c:formatCode>0%</c:formatCode>
                <c:ptCount val="11"/>
                <c:pt idx="0">
                  <c:v>0.48443827892511132</c:v>
                </c:pt>
                <c:pt idx="1">
                  <c:v>0.48657029087311815</c:v>
                </c:pt>
                <c:pt idx="2">
                  <c:v>0.49375964211636769</c:v>
                </c:pt>
                <c:pt idx="3">
                  <c:v>0.50282687660531633</c:v>
                </c:pt>
                <c:pt idx="4">
                  <c:v>0.51195906679948389</c:v>
                </c:pt>
                <c:pt idx="5">
                  <c:v>0.51575572843880557</c:v>
                </c:pt>
                <c:pt idx="6">
                  <c:v>0.508745225204428</c:v>
                </c:pt>
                <c:pt idx="7">
                  <c:v>0.50302464788732393</c:v>
                </c:pt>
                <c:pt idx="8">
                  <c:v>0.50016456869567549</c:v>
                </c:pt>
                <c:pt idx="9">
                  <c:v>0.5408571512691086</c:v>
                </c:pt>
                <c:pt idx="10">
                  <c:v>0.51</c:v>
                </c:pt>
              </c:numCache>
            </c:numRef>
          </c:val>
          <c:extLst>
            <c:ext xmlns:c16="http://schemas.microsoft.com/office/drawing/2014/chart" uri="{C3380CC4-5D6E-409C-BE32-E72D297353CC}">
              <c16:uniqueId val="{00000000-1CB9-4F52-A624-910A71CF986D}"/>
            </c:ext>
          </c:extLst>
        </c:ser>
        <c:ser>
          <c:idx val="1"/>
          <c:order val="1"/>
          <c:tx>
            <c:strRef>
              <c:f>'Ch2. Cross filings'!$A$44</c:f>
              <c:strCache>
                <c:ptCount val="1"/>
                <c:pt idx="0">
                  <c:v>Trilateral</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filings'!$B$41:$L$42</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'Ch2. Cross filings'!$B$44:$L$44</c:f>
              <c:numCache>
                <c:formatCode>0%</c:formatCode>
                <c:ptCount val="11"/>
                <c:pt idx="0">
                  <c:v>0.22663056854540981</c:v>
                </c:pt>
                <c:pt idx="1">
                  <c:v>0.23540438762022728</c:v>
                </c:pt>
                <c:pt idx="2">
                  <c:v>0.23586450868335784</c:v>
                </c:pt>
                <c:pt idx="3">
                  <c:v>0.23447877562806815</c:v>
                </c:pt>
                <c:pt idx="4">
                  <c:v>0.23300606867044288</c:v>
                </c:pt>
                <c:pt idx="5">
                  <c:v>0.23501362647681298</c:v>
                </c:pt>
                <c:pt idx="6">
                  <c:v>0.2429617980284017</c:v>
                </c:pt>
                <c:pt idx="7">
                  <c:v>0.25416901408450704</c:v>
                </c:pt>
                <c:pt idx="8">
                  <c:v>0.25838964493464273</c:v>
                </c:pt>
                <c:pt idx="9">
                  <c:v>0.26852303172853276</c:v>
                </c:pt>
                <c:pt idx="10">
                  <c:v>0.26</c:v>
                </c:pt>
              </c:numCache>
            </c:numRef>
          </c:val>
          <c:extLst>
            <c:ext xmlns:c16="http://schemas.microsoft.com/office/drawing/2014/chart" uri="{C3380CC4-5D6E-409C-BE32-E72D297353CC}">
              <c16:uniqueId val="{00000001-1CB9-4F52-A624-910A71CF986D}"/>
            </c:ext>
          </c:extLst>
        </c:ser>
        <c:ser>
          <c:idx val="2"/>
          <c:order val="2"/>
          <c:tx>
            <c:strRef>
              <c:f>'Ch2. Cross filings'!$A$45</c:f>
              <c:strCache>
                <c:ptCount val="1"/>
                <c:pt idx="0">
                  <c:v>Quadrilateral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filings'!$B$41:$L$42</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'Ch2. Cross filings'!$B$45:$L$45</c:f>
              <c:numCache>
                <c:formatCode>0%</c:formatCode>
                <c:ptCount val="11"/>
                <c:pt idx="0">
                  <c:v>0.15772492336607521</c:v>
                </c:pt>
                <c:pt idx="1">
                  <c:v>0.15781466918274548</c:v>
                </c:pt>
                <c:pt idx="2">
                  <c:v>0.15385347552439232</c:v>
                </c:pt>
                <c:pt idx="3">
                  <c:v>0.15302369408939617</c:v>
                </c:pt>
                <c:pt idx="4">
                  <c:v>0.1474087769662529</c:v>
                </c:pt>
                <c:pt idx="5">
                  <c:v>0.14357501531373909</c:v>
                </c:pt>
                <c:pt idx="6">
                  <c:v>0.14433499136118194</c:v>
                </c:pt>
                <c:pt idx="7">
                  <c:v>0.14294718309859156</c:v>
                </c:pt>
                <c:pt idx="8">
                  <c:v>0.14142160484705188</c:v>
                </c:pt>
                <c:pt idx="9">
                  <c:v>0.12850726396608295</c:v>
                </c:pt>
                <c:pt idx="10">
                  <c:v>0.14000000000000001</c:v>
                </c:pt>
              </c:numCache>
            </c:numRef>
          </c:val>
          <c:extLst>
            <c:ext xmlns:c16="http://schemas.microsoft.com/office/drawing/2014/chart" uri="{C3380CC4-5D6E-409C-BE32-E72D297353CC}">
              <c16:uniqueId val="{00000002-1CB9-4F52-A624-910A71CF986D}"/>
            </c:ext>
          </c:extLst>
        </c:ser>
        <c:ser>
          <c:idx val="3"/>
          <c:order val="3"/>
          <c:tx>
            <c:strRef>
              <c:f>'Ch2. Cross filings'!$A$46</c:f>
              <c:strCache>
                <c:ptCount val="1"/>
                <c:pt idx="0">
                  <c:v>IP5</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filings'!$B$41:$L$42</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'Ch2. Cross filings'!$B$46:$L$46</c:f>
              <c:numCache>
                <c:formatCode>0%</c:formatCode>
                <c:ptCount val="11"/>
                <c:pt idx="0">
                  <c:v>0.13120622916340366</c:v>
                </c:pt>
                <c:pt idx="1">
                  <c:v>0.12021065232390912</c:v>
                </c:pt>
                <c:pt idx="2">
                  <c:v>0.11652237367588211</c:v>
                </c:pt>
                <c:pt idx="3">
                  <c:v>0.10967065367721933</c:v>
                </c:pt>
                <c:pt idx="4">
                  <c:v>0.10762608756382029</c:v>
                </c:pt>
                <c:pt idx="5">
                  <c:v>0.10565562977064237</c:v>
                </c:pt>
                <c:pt idx="6">
                  <c:v>0.10395798540598838</c:v>
                </c:pt>
                <c:pt idx="7">
                  <c:v>9.9859154929577462E-2</c:v>
                </c:pt>
                <c:pt idx="8">
                  <c:v>0.10002418152262987</c:v>
                </c:pt>
                <c:pt idx="9">
                  <c:v>6.2112553036275671E-2</c:v>
                </c:pt>
                <c:pt idx="10">
                  <c:v>0.09</c:v>
                </c:pt>
              </c:numCache>
            </c:numRef>
          </c:val>
          <c:extLst>
            <c:ext xmlns:c16="http://schemas.microsoft.com/office/drawing/2014/chart" uri="{C3380CC4-5D6E-409C-BE32-E72D297353CC}">
              <c16:uniqueId val="{00000003-1CB9-4F52-A624-910A71CF986D}"/>
            </c:ext>
          </c:extLst>
        </c:ser>
        <c:dLbls>
          <c:showLegendKey val="0"/>
          <c:showVal val="0"/>
          <c:showCatName val="0"/>
          <c:showSerName val="0"/>
          <c:showPercent val="0"/>
          <c:showBubbleSize val="0"/>
        </c:dLbls>
        <c:gapWidth val="20"/>
        <c:overlap val="100"/>
        <c:axId val="865909392"/>
        <c:axId val="865909720"/>
      </c:barChart>
      <c:catAx>
        <c:axId val="86590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65909720"/>
        <c:crosses val="autoZero"/>
        <c:auto val="1"/>
        <c:lblAlgn val="ctr"/>
        <c:lblOffset val="100"/>
        <c:noMultiLvlLbl val="0"/>
      </c:catAx>
      <c:valAx>
        <c:axId val="865909720"/>
        <c:scaling>
          <c:orientation val="minMax"/>
          <c:max val="1"/>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65909392"/>
        <c:crosses val="autoZero"/>
        <c:crossBetween val="between"/>
      </c:valAx>
      <c:spPr>
        <a:noFill/>
        <a:ln>
          <a:noFill/>
        </a:ln>
        <a:effectLst/>
      </c:spPr>
    </c:plotArea>
    <c:legend>
      <c:legendPos val="r"/>
      <c:layout>
        <c:manualLayout>
          <c:xMode val="edge"/>
          <c:yMode val="edge"/>
          <c:x val="0.82030278932060952"/>
          <c:y val="0.30069404759308133"/>
          <c:w val="0.15883424244800126"/>
          <c:h val="0.3472360968729324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2020</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6585-4832-83AC-4AFFC6DA0BDC}"/>
              </c:ext>
            </c:extLst>
          </c:dPt>
          <c:dPt>
            <c:idx val="1"/>
            <c:bubble3D val="0"/>
            <c:spPr>
              <a:solidFill>
                <a:srgbClr val="FF0000"/>
              </a:solidFill>
              <a:ln>
                <a:solidFill>
                  <a:schemeClr val="bg1"/>
                </a:solidFill>
              </a:ln>
            </c:spPr>
            <c:extLst>
              <c:ext xmlns:c16="http://schemas.microsoft.com/office/drawing/2014/chart" uri="{C3380CC4-5D6E-409C-BE32-E72D297353CC}">
                <c16:uniqueId val="{00000003-6585-4832-83AC-4AFFC6DA0BDC}"/>
              </c:ext>
            </c:extLst>
          </c:dPt>
          <c:dPt>
            <c:idx val="2"/>
            <c:bubble3D val="0"/>
            <c:spPr>
              <a:solidFill>
                <a:srgbClr val="7030A0"/>
              </a:solidFill>
              <a:ln>
                <a:solidFill>
                  <a:schemeClr val="bg1"/>
                </a:solidFill>
              </a:ln>
            </c:spPr>
            <c:extLst>
              <c:ext xmlns:c16="http://schemas.microsoft.com/office/drawing/2014/chart" uri="{C3380CC4-5D6E-409C-BE32-E72D297353CC}">
                <c16:uniqueId val="{00000005-6585-4832-83AC-4AFFC6DA0BDC}"/>
              </c:ext>
            </c:extLst>
          </c:dPt>
          <c:dPt>
            <c:idx val="3"/>
            <c:bubble3D val="0"/>
            <c:spPr>
              <a:solidFill>
                <a:srgbClr val="FFC000"/>
              </a:solidFill>
              <a:ln>
                <a:solidFill>
                  <a:schemeClr val="bg1"/>
                </a:solidFill>
              </a:ln>
            </c:spPr>
            <c:extLst>
              <c:ext xmlns:c16="http://schemas.microsoft.com/office/drawing/2014/chart" uri="{C3380CC4-5D6E-409C-BE32-E72D297353CC}">
                <c16:uniqueId val="{00000007-6585-4832-83AC-4AFFC6DA0BDC}"/>
              </c:ext>
            </c:extLst>
          </c:dPt>
          <c:dPt>
            <c:idx val="4"/>
            <c:bubble3D val="0"/>
            <c:spPr>
              <a:solidFill>
                <a:srgbClr val="008000"/>
              </a:solidFill>
              <a:ln>
                <a:solidFill>
                  <a:schemeClr val="bg1"/>
                </a:solidFill>
              </a:ln>
            </c:spPr>
            <c:extLst>
              <c:ext xmlns:c16="http://schemas.microsoft.com/office/drawing/2014/chart" uri="{C3380CC4-5D6E-409C-BE32-E72D297353CC}">
                <c16:uniqueId val="{00000009-6585-4832-83AC-4AFFC6DA0BDC}"/>
              </c:ext>
            </c:extLst>
          </c:dPt>
          <c:dPt>
            <c:idx val="5"/>
            <c:bubble3D val="0"/>
            <c:spPr>
              <a:solidFill>
                <a:schemeClr val="accent2"/>
              </a:solidFill>
              <a:ln>
                <a:solidFill>
                  <a:schemeClr val="bg1"/>
                </a:solidFill>
              </a:ln>
            </c:spPr>
            <c:extLst>
              <c:ext xmlns:c16="http://schemas.microsoft.com/office/drawing/2014/chart" uri="{C3380CC4-5D6E-409C-BE32-E72D297353CC}">
                <c16:uniqueId val="{0000000B-6585-4832-83AC-4AFFC6DA0BDC}"/>
              </c:ext>
            </c:extLst>
          </c:dPt>
          <c:dLbls>
            <c:dLbl>
              <c:idx val="0"/>
              <c:layout>
                <c:manualLayout>
                  <c:x val="-0.21021267796070944"/>
                  <c:y val="0.2197363464795984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19191919191918"/>
                      <c:h val="0.28706765691402547"/>
                    </c:manualLayout>
                  </c15:layout>
                </c:ext>
                <c:ext xmlns:c16="http://schemas.microsoft.com/office/drawing/2014/chart" uri="{C3380CC4-5D6E-409C-BE32-E72D297353CC}">
                  <c16:uniqueId val="{00000001-6585-4832-83AC-4AFFC6DA0BDC}"/>
                </c:ext>
              </c:extLst>
            </c:dLbl>
            <c:dLbl>
              <c:idx val="1"/>
              <c:layout>
                <c:manualLayout>
                  <c:x val="-0.1602568997057186"/>
                  <c:y val="-0.1171615486808785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559595959595955"/>
                      <c:h val="0.23210944405079867"/>
                    </c:manualLayout>
                  </c15:layout>
                </c:ext>
                <c:ext xmlns:c16="http://schemas.microsoft.com/office/drawing/2014/chart" uri="{C3380CC4-5D6E-409C-BE32-E72D297353CC}">
                  <c16:uniqueId val="{00000003-6585-4832-83AC-4AFFC6DA0BDC}"/>
                </c:ext>
              </c:extLst>
            </c:dLbl>
            <c:dLbl>
              <c:idx val="2"/>
              <c:layout>
                <c:manualLayout>
                  <c:x val="-0.11920655372623877"/>
                  <c:y val="-7.09596718766464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416161616161616"/>
                      <c:h val="0.23210944405079867"/>
                    </c:manualLayout>
                  </c15:layout>
                </c:ext>
                <c:ext xmlns:c16="http://schemas.microsoft.com/office/drawing/2014/chart" uri="{C3380CC4-5D6E-409C-BE32-E72D297353CC}">
                  <c16:uniqueId val="{00000005-6585-4832-83AC-4AFFC6DA0BDC}"/>
                </c:ext>
              </c:extLst>
            </c:dLbl>
            <c:dLbl>
              <c:idx val="3"/>
              <c:layout>
                <c:manualLayout>
                  <c:x val="0.15961345740873298"/>
                  <c:y val="-5.78957340290714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357575757575757"/>
                      <c:h val="0.28706765691402547"/>
                    </c:manualLayout>
                  </c15:layout>
                </c:ext>
                <c:ext xmlns:c16="http://schemas.microsoft.com/office/drawing/2014/chart" uri="{C3380CC4-5D6E-409C-BE32-E72D297353CC}">
                  <c16:uniqueId val="{00000007-6585-4832-83AC-4AFFC6DA0BDC}"/>
                </c:ext>
              </c:extLst>
            </c:dLbl>
            <c:dLbl>
              <c:idx val="5"/>
              <c:layout>
                <c:manualLayout>
                  <c:x val="0.1468632784538296"/>
                  <c:y val="0.1250904230655586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626262626262628"/>
                      <c:h val="0.23210944405079867"/>
                    </c:manualLayout>
                  </c15:layout>
                </c:ext>
                <c:ext xmlns:c16="http://schemas.microsoft.com/office/drawing/2014/chart" uri="{C3380CC4-5D6E-409C-BE32-E72D297353CC}">
                  <c16:uniqueId val="{0000000B-6585-4832-83AC-4AFFC6DA0BDC}"/>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Patents-in-Force'!$Z$8:$Z$13</c:f>
              <c:numCache>
                <c:formatCode>#,##0</c:formatCode>
                <c:ptCount val="6"/>
                <c:pt idx="0">
                  <c:v>4852303</c:v>
                </c:pt>
                <c:pt idx="1">
                  <c:v>2039040</c:v>
                </c:pt>
                <c:pt idx="2">
                  <c:v>1096721</c:v>
                </c:pt>
                <c:pt idx="3">
                  <c:v>3057844</c:v>
                </c:pt>
                <c:pt idx="4">
                  <c:v>3348531</c:v>
                </c:pt>
                <c:pt idx="5">
                  <c:v>1447062</c:v>
                </c:pt>
              </c:numCache>
            </c:numRef>
          </c:val>
          <c:extLst>
            <c:ext xmlns:c16="http://schemas.microsoft.com/office/drawing/2014/chart" uri="{C3380CC4-5D6E-409C-BE32-E72D297353CC}">
              <c16:uniqueId val="{0000000C-6585-4832-83AC-4AFFC6DA0BDC}"/>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6585-4832-83AC-4AFFC6DA0B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6585-4832-83AC-4AFFC6DA0BD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6585-4832-83AC-4AFFC6DA0B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6585-4832-83AC-4AFFC6DA0BD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6585-4832-83AC-4AFFC6DA0BD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6585-4832-83AC-4AFFC6DA0BDC}"/>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6585-4832-83AC-4AFFC6DA0BDC}"/>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endParaRPr lang="en-GB"/>
          </a:p>
        </c:rich>
      </c:tx>
      <c:layout>
        <c:manualLayout>
          <c:xMode val="edge"/>
          <c:yMode val="edge"/>
          <c:x val="8.1591886810082559E-2"/>
          <c:y val="2.3466667323651227E-2"/>
        </c:manualLayout>
      </c:layout>
      <c:overlay val="0"/>
    </c:title>
    <c:autoTitleDeleted val="0"/>
    <c:plotArea>
      <c:layout>
        <c:manualLayout>
          <c:layoutTarget val="inner"/>
          <c:xMode val="edge"/>
          <c:yMode val="edge"/>
          <c:x val="8.6204830713403194E-2"/>
          <c:y val="0.13642171422882168"/>
          <c:w val="0.89205664775503468"/>
          <c:h val="0.57367017644183083"/>
        </c:manualLayout>
      </c:layout>
      <c:barChart>
        <c:barDir val="col"/>
        <c:grouping val="clustered"/>
        <c:varyColors val="0"/>
        <c:ser>
          <c:idx val="0"/>
          <c:order val="0"/>
          <c:invertIfNegative val="0"/>
          <c:dPt>
            <c:idx val="0"/>
            <c:invertIfNegative val="0"/>
            <c:bubble3D val="0"/>
            <c:spPr>
              <a:gradFill>
                <a:gsLst>
                  <a:gs pos="0">
                    <a:schemeClr val="accent3">
                      <a:lumMod val="75000"/>
                    </a:schemeClr>
                  </a:gs>
                  <a:gs pos="64000">
                    <a:srgbClr val="C00000"/>
                  </a:gs>
                  <a:gs pos="43000">
                    <a:schemeClr val="accent3">
                      <a:lumMod val="75000"/>
                    </a:schemeClr>
                  </a:gs>
                  <a:gs pos="100000">
                    <a:srgbClr val="C00000"/>
                  </a:gs>
                </a:gsLst>
                <a:lin ang="5400000" scaled="1"/>
              </a:gradFill>
              <a:ln>
                <a:noFill/>
              </a:ln>
            </c:spPr>
            <c:extLst>
              <c:ext xmlns:c16="http://schemas.microsoft.com/office/drawing/2014/chart" uri="{C3380CC4-5D6E-409C-BE32-E72D297353CC}">
                <c16:uniqueId val="{00000001-3E05-486E-BADD-952B40B79C13}"/>
              </c:ext>
            </c:extLst>
          </c:dPt>
          <c:dPt>
            <c:idx val="1"/>
            <c:invertIfNegative val="0"/>
            <c:bubble3D val="0"/>
            <c:spPr>
              <a:gradFill>
                <a:gsLst>
                  <a:gs pos="0">
                    <a:schemeClr val="accent3">
                      <a:lumMod val="75000"/>
                    </a:schemeClr>
                  </a:gs>
                  <a:gs pos="60000">
                    <a:srgbClr val="FFC000"/>
                  </a:gs>
                  <a:gs pos="41000">
                    <a:schemeClr val="accent3">
                      <a:lumMod val="75000"/>
                    </a:schemeClr>
                  </a:gs>
                  <a:gs pos="100000">
                    <a:srgbClr val="FFC000"/>
                  </a:gs>
                </a:gsLst>
                <a:lin ang="5400000" scaled="1"/>
              </a:gradFill>
            </c:spPr>
            <c:extLst>
              <c:ext xmlns:c16="http://schemas.microsoft.com/office/drawing/2014/chart" uri="{C3380CC4-5D6E-409C-BE32-E72D297353CC}">
                <c16:uniqueId val="{00000003-3E05-486E-BADD-952B40B79C13}"/>
              </c:ext>
            </c:extLst>
          </c:dPt>
          <c:dPt>
            <c:idx val="2"/>
            <c:invertIfNegative val="0"/>
            <c:bubble3D val="0"/>
            <c:spPr>
              <a:gradFill>
                <a:gsLst>
                  <a:gs pos="0">
                    <a:schemeClr val="accent3">
                      <a:lumMod val="75000"/>
                    </a:schemeClr>
                  </a:gs>
                  <a:gs pos="59000">
                    <a:srgbClr val="FFC000"/>
                  </a:gs>
                  <a:gs pos="42000">
                    <a:srgbClr val="FFC000"/>
                  </a:gs>
                  <a:gs pos="83000">
                    <a:srgbClr val="0070C0"/>
                  </a:gs>
                  <a:gs pos="17000">
                    <a:schemeClr val="accent3">
                      <a:lumMod val="75000"/>
                    </a:schemeClr>
                  </a:gs>
                  <a:gs pos="100000">
                    <a:srgbClr val="0070C0"/>
                  </a:gs>
                </a:gsLst>
                <a:lin ang="5400000" scaled="1"/>
              </a:gradFill>
            </c:spPr>
            <c:extLst>
              <c:ext xmlns:c16="http://schemas.microsoft.com/office/drawing/2014/chart" uri="{C3380CC4-5D6E-409C-BE32-E72D297353CC}">
                <c16:uniqueId val="{00000005-3E05-486E-BADD-952B40B79C13}"/>
              </c:ext>
            </c:extLst>
          </c:dPt>
          <c:dPt>
            <c:idx val="3"/>
            <c:invertIfNegative val="0"/>
            <c:bubble3D val="0"/>
            <c:spPr>
              <a:gradFill>
                <a:gsLst>
                  <a:gs pos="0">
                    <a:schemeClr val="accent3">
                      <a:lumMod val="75000"/>
                    </a:schemeClr>
                  </a:gs>
                  <a:gs pos="60000">
                    <a:srgbClr val="0070C0"/>
                  </a:gs>
                  <a:gs pos="40000">
                    <a:schemeClr val="accent3">
                      <a:lumMod val="75000"/>
                    </a:schemeClr>
                  </a:gs>
                  <a:gs pos="100000">
                    <a:srgbClr val="0070C0"/>
                  </a:gs>
                </a:gsLst>
                <a:lin ang="5400000" scaled="1"/>
              </a:gradFill>
            </c:spPr>
            <c:extLst>
              <c:ext xmlns:c16="http://schemas.microsoft.com/office/drawing/2014/chart" uri="{C3380CC4-5D6E-409C-BE32-E72D297353CC}">
                <c16:uniqueId val="{00000007-3E05-486E-BADD-952B40B79C13}"/>
              </c:ext>
            </c:extLst>
          </c:dPt>
          <c:dPt>
            <c:idx val="4"/>
            <c:invertIfNegative val="0"/>
            <c:bubble3D val="0"/>
            <c:spPr>
              <a:solidFill>
                <a:schemeClr val="accent2">
                  <a:lumMod val="50000"/>
                </a:schemeClr>
              </a:solidFill>
            </c:spPr>
            <c:extLst>
              <c:ext xmlns:c16="http://schemas.microsoft.com/office/drawing/2014/chart" uri="{C3380CC4-5D6E-409C-BE32-E72D297353CC}">
                <c16:uniqueId val="{00000009-3E05-486E-BADD-952B40B79C13}"/>
              </c:ext>
            </c:extLst>
          </c:dPt>
          <c:dPt>
            <c:idx val="5"/>
            <c:invertIfNegative val="0"/>
            <c:bubble3D val="0"/>
            <c:spPr>
              <a:gradFill>
                <a:gsLst>
                  <a:gs pos="0">
                    <a:schemeClr val="accent3">
                      <a:lumMod val="75000"/>
                    </a:schemeClr>
                  </a:gs>
                  <a:gs pos="71000">
                    <a:srgbClr val="FFC000"/>
                  </a:gs>
                  <a:gs pos="46000">
                    <a:srgbClr val="C00000"/>
                  </a:gs>
                  <a:gs pos="29000">
                    <a:srgbClr val="C00000"/>
                  </a:gs>
                  <a:gs pos="58000">
                    <a:srgbClr val="FFC000"/>
                  </a:gs>
                  <a:gs pos="18000">
                    <a:schemeClr val="accent3">
                      <a:lumMod val="75000"/>
                    </a:schemeClr>
                  </a:gs>
                  <a:gs pos="85000">
                    <a:srgbClr val="0070C0"/>
                  </a:gs>
                  <a:gs pos="100000">
                    <a:srgbClr val="0070C0"/>
                  </a:gs>
                </a:gsLst>
                <a:lin ang="5400000" scaled="0"/>
              </a:gradFill>
            </c:spPr>
            <c:extLst>
              <c:ext xmlns:c16="http://schemas.microsoft.com/office/drawing/2014/chart" uri="{C3380CC4-5D6E-409C-BE32-E72D297353CC}">
                <c16:uniqueId val="{0000000B-3E05-486E-BADD-952B40B79C13}"/>
              </c:ext>
            </c:extLst>
          </c:dPt>
          <c:dPt>
            <c:idx val="6"/>
            <c:invertIfNegative val="0"/>
            <c:bubble3D val="0"/>
            <c:spPr>
              <a:gradFill>
                <a:gsLst>
                  <a:gs pos="0">
                    <a:schemeClr val="accent3">
                      <a:lumMod val="75000"/>
                    </a:schemeClr>
                  </a:gs>
                  <a:gs pos="60000">
                    <a:srgbClr val="C00000"/>
                  </a:gs>
                  <a:gs pos="41000">
                    <a:srgbClr val="C00000"/>
                  </a:gs>
                  <a:gs pos="26000">
                    <a:schemeClr val="accent3">
                      <a:lumMod val="75000"/>
                    </a:schemeClr>
                  </a:gs>
                  <a:gs pos="78000">
                    <a:srgbClr val="FFC000"/>
                  </a:gs>
                  <a:gs pos="100000">
                    <a:srgbClr val="FFC000"/>
                  </a:gs>
                </a:gsLst>
                <a:lin ang="5400000" scaled="1"/>
              </a:gradFill>
            </c:spPr>
            <c:extLst>
              <c:ext xmlns:c16="http://schemas.microsoft.com/office/drawing/2014/chart" uri="{C3380CC4-5D6E-409C-BE32-E72D297353CC}">
                <c16:uniqueId val="{0000000D-3E05-486E-BADD-952B40B79C13}"/>
              </c:ext>
            </c:extLst>
          </c:dPt>
          <c:dPt>
            <c:idx val="7"/>
            <c:invertIfNegative val="0"/>
            <c:bubble3D val="0"/>
            <c:spPr>
              <a:gradFill>
                <a:gsLst>
                  <a:gs pos="0">
                    <a:schemeClr val="accent3">
                      <a:lumMod val="75000"/>
                    </a:schemeClr>
                  </a:gs>
                  <a:gs pos="36000">
                    <a:schemeClr val="accent3">
                      <a:lumMod val="75000"/>
                    </a:schemeClr>
                  </a:gs>
                  <a:gs pos="61000">
                    <a:schemeClr val="accent4">
                      <a:lumMod val="75000"/>
                    </a:schemeClr>
                  </a:gs>
                  <a:gs pos="100000">
                    <a:schemeClr val="accent4">
                      <a:lumMod val="75000"/>
                    </a:schemeClr>
                  </a:gs>
                </a:gsLst>
                <a:lin ang="5400000" scaled="1"/>
              </a:gradFill>
            </c:spPr>
            <c:extLst>
              <c:ext xmlns:c16="http://schemas.microsoft.com/office/drawing/2014/chart" uri="{C3380CC4-5D6E-409C-BE32-E72D297353CC}">
                <c16:uniqueId val="{0000000F-3E05-486E-BADD-952B40B79C13}"/>
              </c:ext>
            </c:extLst>
          </c:dPt>
          <c:dPt>
            <c:idx val="8"/>
            <c:invertIfNegative val="0"/>
            <c:bubble3D val="0"/>
            <c:spPr>
              <a:gradFill>
                <a:gsLst>
                  <a:gs pos="0">
                    <a:schemeClr val="accent3">
                      <a:lumMod val="75000"/>
                    </a:schemeClr>
                  </a:gs>
                  <a:gs pos="71000">
                    <a:srgbClr val="FFC000"/>
                  </a:gs>
                  <a:gs pos="44000">
                    <a:schemeClr val="accent4">
                      <a:lumMod val="75000"/>
                    </a:schemeClr>
                  </a:gs>
                  <a:gs pos="30000">
                    <a:schemeClr val="accent4">
                      <a:lumMod val="75000"/>
                    </a:schemeClr>
                  </a:gs>
                  <a:gs pos="57000">
                    <a:srgbClr val="FFC000"/>
                  </a:gs>
                  <a:gs pos="15000">
                    <a:schemeClr val="accent3">
                      <a:lumMod val="75000"/>
                    </a:schemeClr>
                  </a:gs>
                  <a:gs pos="85000">
                    <a:srgbClr val="0070C0"/>
                  </a:gs>
                  <a:gs pos="100000">
                    <a:schemeClr val="accent1"/>
                  </a:gs>
                </a:gsLst>
                <a:lin ang="5400000" scaled="1"/>
              </a:gradFill>
            </c:spPr>
            <c:extLst>
              <c:ext xmlns:c16="http://schemas.microsoft.com/office/drawing/2014/chart" uri="{C3380CC4-5D6E-409C-BE32-E72D297353CC}">
                <c16:uniqueId val="{00000011-3E05-486E-BADD-952B40B79C13}"/>
              </c:ext>
            </c:extLst>
          </c:dPt>
          <c:dPt>
            <c:idx val="9"/>
            <c:invertIfNegative val="0"/>
            <c:bubble3D val="0"/>
            <c:spPr>
              <a:solidFill>
                <a:srgbClr val="948A54"/>
              </a:solidFill>
            </c:spPr>
            <c:extLst>
              <c:ext xmlns:c16="http://schemas.microsoft.com/office/drawing/2014/chart" uri="{C3380CC4-5D6E-409C-BE32-E72D297353CC}">
                <c16:uniqueId val="{00000013-3E05-486E-BADD-952B40B79C13}"/>
              </c:ext>
            </c:extLst>
          </c:dPt>
          <c:dPt>
            <c:idx val="10"/>
            <c:invertIfNegative val="0"/>
            <c:bubble3D val="0"/>
            <c:spPr>
              <a:gradFill>
                <a:gsLst>
                  <a:gs pos="0">
                    <a:srgbClr val="C00000"/>
                  </a:gs>
                  <a:gs pos="43000">
                    <a:srgbClr val="C00000"/>
                  </a:gs>
                  <a:gs pos="59000">
                    <a:srgbClr val="FFC000"/>
                  </a:gs>
                  <a:gs pos="100000">
                    <a:srgbClr val="FFC000"/>
                  </a:gs>
                </a:gsLst>
                <a:lin ang="5400000" scaled="1"/>
              </a:gradFill>
            </c:spPr>
            <c:extLst>
              <c:ext xmlns:c16="http://schemas.microsoft.com/office/drawing/2014/chart" uri="{C3380CC4-5D6E-409C-BE32-E72D297353CC}">
                <c16:uniqueId val="{00000015-3E05-486E-BADD-952B40B79C13}"/>
              </c:ext>
            </c:extLst>
          </c:dPt>
          <c:dPt>
            <c:idx val="11"/>
            <c:invertIfNegative val="0"/>
            <c:bubble3D val="0"/>
            <c:spPr>
              <a:gradFill>
                <a:gsLst>
                  <a:gs pos="0">
                    <a:schemeClr val="accent3">
                      <a:lumMod val="75000"/>
                    </a:schemeClr>
                  </a:gs>
                  <a:gs pos="63000">
                    <a:schemeClr val="accent4">
                      <a:lumMod val="75000"/>
                    </a:schemeClr>
                  </a:gs>
                  <a:gs pos="42000">
                    <a:schemeClr val="accent4">
                      <a:lumMod val="75000"/>
                    </a:schemeClr>
                  </a:gs>
                  <a:gs pos="25000">
                    <a:schemeClr val="accent3">
                      <a:lumMod val="75000"/>
                    </a:schemeClr>
                  </a:gs>
                  <a:gs pos="77000">
                    <a:srgbClr val="FFC000"/>
                  </a:gs>
                  <a:gs pos="100000">
                    <a:srgbClr val="FFC000"/>
                  </a:gs>
                </a:gsLst>
                <a:lin ang="5400000" scaled="1"/>
              </a:gradFill>
            </c:spPr>
            <c:extLst>
              <c:ext xmlns:c16="http://schemas.microsoft.com/office/drawing/2014/chart" uri="{C3380CC4-5D6E-409C-BE32-E72D297353CC}">
                <c16:uniqueId val="{00000017-3E05-486E-BADD-952B40B79C13}"/>
              </c:ext>
            </c:extLst>
          </c:dPt>
          <c:dPt>
            <c:idx val="12"/>
            <c:invertIfNegative val="0"/>
            <c:bubble3D val="0"/>
            <c:spPr>
              <a:solidFill>
                <a:schemeClr val="bg1">
                  <a:lumMod val="75000"/>
                </a:schemeClr>
              </a:solidFill>
            </c:spPr>
            <c:extLst>
              <c:ext xmlns:c16="http://schemas.microsoft.com/office/drawing/2014/chart" uri="{C3380CC4-5D6E-409C-BE32-E72D297353CC}">
                <c16:uniqueId val="{00000019-3E05-486E-BADD-952B40B79C13}"/>
              </c:ext>
            </c:extLst>
          </c:dPt>
          <c:dLbls>
            <c:dLbl>
              <c:idx val="0"/>
              <c:tx>
                <c:strRef>
                  <c:f>'Ch2. Cross filings'!$D$59</c:f>
                  <c:strCache>
                    <c:ptCount val="1"/>
                    <c:pt idx="0">
                      <c:v>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{00DE9090-ACB9-4CE4-A84D-B109A71D3EBB}</c15:txfldGUID>
                      <c15:f>'Ch2. Cross filings'!$D$59</c15:f>
                      <c15:dlblFieldTableCache>
                        <c:ptCount val="1"/>
                        <c:pt idx="0">
                          <c:v>13%</c:v>
                        </c:pt>
                      </c15:dlblFieldTableCache>
                    </c15:dlblFTEntry>
                  </c15:dlblFieldTable>
                  <c15:showDataLabelsRange val="0"/>
                </c:ext>
                <c:ext xmlns:c16="http://schemas.microsoft.com/office/drawing/2014/chart" uri="{C3380CC4-5D6E-409C-BE32-E72D297353CC}">
                  <c16:uniqueId val="{00000001-3E05-486E-BADD-952B40B79C13}"/>
                </c:ext>
              </c:extLst>
            </c:dLbl>
            <c:dLbl>
              <c:idx val="1"/>
              <c:tx>
                <c:strRef>
                  <c:f>'Ch2. Cross filings'!$D$60</c:f>
                  <c:strCache>
                    <c:ptCount val="1"/>
                    <c:pt idx="0">
                      <c:v>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{FB59B4D2-3F41-4009-8630-A6645034F976}</c15:txfldGUID>
                      <c15:f>'Ch2. Cross filings'!$D$60</c15:f>
                      <c15:dlblFieldTableCache>
                        <c:ptCount val="1"/>
                        <c:pt idx="0">
                          <c:v>13%</c:v>
                        </c:pt>
                      </c15:dlblFieldTableCache>
                    </c15:dlblFTEntry>
                  </c15:dlblFieldTable>
                  <c15:showDataLabelsRange val="0"/>
                </c:ext>
                <c:ext xmlns:c16="http://schemas.microsoft.com/office/drawing/2014/chart" uri="{C3380CC4-5D6E-409C-BE32-E72D297353CC}">
                  <c16:uniqueId val="{00000003-3E05-486E-BADD-952B40B79C13}"/>
                </c:ext>
              </c:extLst>
            </c:dLbl>
            <c:dLbl>
              <c:idx val="2"/>
              <c:tx>
                <c:strRef>
                  <c:f>'Ch2. Cross filings'!$D$61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{2A77B9F1-781F-4893-9EC3-D7AB49866AE1}</c15:txfldGUID>
                      <c15:f>'Ch2. Cross filings'!$D$61</c15:f>
                      <c15:dlblFieldTableCache>
                        <c:ptCount val="1"/>
                        <c:pt idx="0">
                          <c:v>11%</c:v>
                        </c:pt>
                      </c15:dlblFieldTableCache>
                    </c15:dlblFTEntry>
                  </c15:dlblFieldTable>
                  <c15:showDataLabelsRange val="0"/>
                </c:ext>
                <c:ext xmlns:c16="http://schemas.microsoft.com/office/drawing/2014/chart" uri="{C3380CC4-5D6E-409C-BE32-E72D297353CC}">
                  <c16:uniqueId val="{00000005-3E05-486E-BADD-952B40B79C13}"/>
                </c:ext>
              </c:extLst>
            </c:dLbl>
            <c:dLbl>
              <c:idx val="3"/>
              <c:tx>
                <c:strRef>
                  <c:f>'Ch2. Cross filings'!$D$62</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{C378E195-DD3B-4569-A1E0-49104DBB688D}</c15:txfldGUID>
                      <c15:f>'Ch2. Cross filings'!$D$62</c15:f>
                      <c15:dlblFieldTableCache>
                        <c:ptCount val="1"/>
                        <c:pt idx="0">
                          <c:v>11%</c:v>
                        </c:pt>
                      </c15:dlblFieldTableCache>
                    </c15:dlblFTEntry>
                  </c15:dlblFieldTable>
                  <c15:showDataLabelsRange val="0"/>
                </c:ext>
                <c:ext xmlns:c16="http://schemas.microsoft.com/office/drawing/2014/chart" uri="{C3380CC4-5D6E-409C-BE32-E72D297353CC}">
                  <c16:uniqueId val="{00000007-3E05-486E-BADD-952B40B79C13}"/>
                </c:ext>
              </c:extLst>
            </c:dLbl>
            <c:dLbl>
              <c:idx val="4"/>
              <c:tx>
                <c:strRef>
                  <c:f>'Ch2. Cross filings'!$D$63</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{892DF3DF-B9A2-4918-973A-F2C8B9A22A42}</c15:txfldGUID>
                      <c15:f>'Ch2. Cross filings'!$D$63</c15:f>
                      <c15:dlblFieldTableCache>
                        <c:ptCount val="1"/>
                        <c:pt idx="0">
                          <c:v>9%</c:v>
                        </c:pt>
                      </c15:dlblFieldTableCache>
                    </c15:dlblFTEntry>
                  </c15:dlblFieldTable>
                  <c15:showDataLabelsRange val="0"/>
                </c:ext>
                <c:ext xmlns:c16="http://schemas.microsoft.com/office/drawing/2014/chart" uri="{C3380CC4-5D6E-409C-BE32-E72D297353CC}">
                  <c16:uniqueId val="{00000009-3E05-486E-BADD-952B40B79C13}"/>
                </c:ext>
              </c:extLst>
            </c:dLbl>
            <c:dLbl>
              <c:idx val="5"/>
              <c:tx>
                <c:strRef>
                  <c:f>'Ch2. Cross filings'!$D$64</c:f>
                  <c:strCache>
                    <c:ptCount val="1"/>
                    <c:pt idx="0">
                      <c:v>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{CED8BDCF-FE12-4BE7-817C-8F94404AA58E}</c15:txfldGUID>
                      <c15:f>'Ch2. Cross filings'!$D$64</c15:f>
                      <c15:dlblFieldTableCache>
                        <c:ptCount val="1"/>
                        <c:pt idx="0">
                          <c:v>7%</c:v>
                        </c:pt>
                      </c15:dlblFieldTableCache>
                    </c15:dlblFTEntry>
                  </c15:dlblFieldTable>
                  <c15:showDataLabelsRange val="0"/>
                </c:ext>
                <c:ext xmlns:c16="http://schemas.microsoft.com/office/drawing/2014/chart" uri="{C3380CC4-5D6E-409C-BE32-E72D297353CC}">
                  <c16:uniqueId val="{0000000B-3E05-486E-BADD-952B40B79C13}"/>
                </c:ext>
              </c:extLst>
            </c:dLbl>
            <c:dLbl>
              <c:idx val="6"/>
              <c:tx>
                <c:strRef>
                  <c:f>'Ch2. Cross filings'!$D$65</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{F2A48584-C515-4AA7-8A4E-BEDBD4C30B8E}</c15:txfldGUID>
                      <c15:f>'Ch2. Cross filings'!$D$65</c15:f>
                      <c15:dlblFieldTableCache>
                        <c:ptCount val="1"/>
                        <c:pt idx="0">
                          <c:v>5%</c:v>
                        </c:pt>
                      </c15:dlblFieldTableCache>
                    </c15:dlblFTEntry>
                  </c15:dlblFieldTable>
                  <c15:showDataLabelsRange val="0"/>
                </c:ext>
                <c:ext xmlns:c16="http://schemas.microsoft.com/office/drawing/2014/chart" uri="{C3380CC4-5D6E-409C-BE32-E72D297353CC}">
                  <c16:uniqueId val="{0000000D-3E05-486E-BADD-952B40B79C13}"/>
                </c:ext>
              </c:extLst>
            </c:dLbl>
            <c:dLbl>
              <c:idx val="7"/>
              <c:tx>
                <c:strRef>
                  <c:f>'Ch2. Cross filings'!$D$66</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{838C02A5-83AE-41E5-B53E-4CD8B6EC1CA3}</c15:txfldGUID>
                      <c15:f>'Ch2. Cross filings'!$D$66</c15:f>
                      <c15:dlblFieldTableCache>
                        <c:ptCount val="1"/>
                        <c:pt idx="0">
                          <c:v>5%</c:v>
                        </c:pt>
                      </c15:dlblFieldTableCache>
                    </c15:dlblFTEntry>
                  </c15:dlblFieldTable>
                  <c15:showDataLabelsRange val="0"/>
                </c:ext>
                <c:ext xmlns:c16="http://schemas.microsoft.com/office/drawing/2014/chart" uri="{C3380CC4-5D6E-409C-BE32-E72D297353CC}">
                  <c16:uniqueId val="{0000000F-3E05-486E-BADD-952B40B79C13}"/>
                </c:ext>
              </c:extLst>
            </c:dLbl>
            <c:dLbl>
              <c:idx val="8"/>
              <c:tx>
                <c:strRef>
                  <c:f>'Ch2. Cross filings'!$D$67</c:f>
                  <c:strCache>
                    <c:ptCount val="1"/>
                    <c:pt idx="0">
                      <c:v>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{DE0A7D78-2B3E-496E-B568-D17C717D47C1}</c15:txfldGUID>
                      <c15:f>'Ch2. Cross filings'!$D$67</c15:f>
                      <c15:dlblFieldTableCache>
                        <c:ptCount val="1"/>
                        <c:pt idx="0">
                          <c:v>4%</c:v>
                        </c:pt>
                      </c15:dlblFieldTableCache>
                    </c15:dlblFTEntry>
                  </c15:dlblFieldTable>
                  <c15:showDataLabelsRange val="0"/>
                </c:ext>
                <c:ext xmlns:c16="http://schemas.microsoft.com/office/drawing/2014/chart" uri="{C3380CC4-5D6E-409C-BE32-E72D297353CC}">
                  <c16:uniqueId val="{00000011-3E05-486E-BADD-952B40B79C13}"/>
                </c:ext>
              </c:extLst>
            </c:dLbl>
            <c:dLbl>
              <c:idx val="9"/>
              <c:tx>
                <c:strRef>
                  <c:f>'Ch2. Cross filings'!$D$68</c:f>
                  <c:strCache>
                    <c:ptCount val="1"/>
                    <c:pt idx="0">
                      <c:v>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{CEE69635-C793-4037-ABE6-02BE4B632E2E}</c15:txfldGUID>
                      <c15:f>'Ch2. Cross filings'!$D$68</c15:f>
                      <c15:dlblFieldTableCache>
                        <c:ptCount val="1"/>
                        <c:pt idx="0">
                          <c:v>19%</c:v>
                        </c:pt>
                      </c15:dlblFieldTableCache>
                    </c15:dlblFTEntry>
                  </c15:dlblFieldTable>
                  <c15:showDataLabelsRange val="0"/>
                </c:ext>
                <c:ext xmlns:c16="http://schemas.microsoft.com/office/drawing/2014/chart" uri="{C3380CC4-5D6E-409C-BE32-E72D297353CC}">
                  <c16:uniqueId val="{00000013-3E05-486E-BADD-952B40B79C13}"/>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'Ch2. Cross filings'!$B$59:$B$68</c:f>
              <c:strCache>
                <c:ptCount val="10"/>
                <c:pt idx="0">
                  <c:v>CN-US</c:v>
                </c:pt>
                <c:pt idx="1">
                  <c:v>JP-US</c:v>
                </c:pt>
                <c:pt idx="2">
                  <c:v>EP-CN-US</c:v>
                </c:pt>
                <c:pt idx="3">
                  <c:v>EP-US</c:v>
                </c:pt>
                <c:pt idx="4">
                  <c:v>IP5</c:v>
                </c:pt>
                <c:pt idx="5">
                  <c:v>EP-CN-JP-US</c:v>
                </c:pt>
                <c:pt idx="6">
                  <c:v>KR-US</c:v>
                </c:pt>
                <c:pt idx="7">
                  <c:v>CN-JP-US</c:v>
                </c:pt>
                <c:pt idx="8">
                  <c:v>CN-JP</c:v>
                </c:pt>
                <c:pt idx="9">
                  <c:v>OTHER</c:v>
                </c:pt>
              </c:strCache>
            </c:strRef>
          </c:cat>
          <c:val>
            <c:numRef>
              <c:f>'Ch2. Cross filings'!$C$59:$C$68</c:f>
              <c:numCache>
                <c:formatCode>General</c:formatCode>
                <c:ptCount val="10"/>
                <c:pt idx="0" formatCode="#,##0">
                  <c:v>41736</c:v>
                </c:pt>
                <c:pt idx="1">
                  <c:v>40527</c:v>
                </c:pt>
                <c:pt idx="2">
                  <c:v>34401</c:v>
                </c:pt>
                <c:pt idx="3">
                  <c:v>33750</c:v>
                </c:pt>
                <c:pt idx="4">
                  <c:v>28400</c:v>
                </c:pt>
                <c:pt idx="5">
                  <c:v>22843</c:v>
                </c:pt>
                <c:pt idx="6">
                  <c:v>17144</c:v>
                </c:pt>
                <c:pt idx="7">
                  <c:v>15872</c:v>
                </c:pt>
                <c:pt idx="8">
                  <c:v>11050</c:v>
                </c:pt>
                <c:pt idx="9">
                  <c:v>69710</c:v>
                </c:pt>
              </c:numCache>
            </c:numRef>
          </c:val>
          <c:extLst>
            <c:ext xmlns:c16="http://schemas.microsoft.com/office/drawing/2014/chart" uri="{C3380CC4-5D6E-409C-BE32-E72D297353CC}">
              <c16:uniqueId val="{0000001A-3E05-486E-BADD-952B40B79C13}"/>
            </c:ext>
          </c:extLst>
        </c:ser>
        <c:dLbls>
          <c:showLegendKey val="0"/>
          <c:showVal val="0"/>
          <c:showCatName val="0"/>
          <c:showSerName val="0"/>
          <c:showPercent val="0"/>
          <c:showBubbleSize val="0"/>
        </c:dLbls>
        <c:gapWidth val="50"/>
        <c:axId val="208942208"/>
        <c:axId val="208943744"/>
      </c:barChart>
      <c:catAx>
        <c:axId val="208942208"/>
        <c:scaling>
          <c:orientation val="minMax"/>
        </c:scaling>
        <c:delete val="0"/>
        <c:axPos val="b"/>
        <c:numFmt formatCode="General" sourceLinked="0"/>
        <c:majorTickMark val="none"/>
        <c:minorTickMark val="none"/>
        <c:tickLblPos val="nextTo"/>
        <c:spPr>
          <a:ln>
            <a:noFill/>
          </a:ln>
        </c:spPr>
        <c:txPr>
          <a:bodyPr rot="-5400000" vert="horz"/>
          <a:lstStyle/>
          <a:p>
            <a:pPr>
              <a:defRPr sz="1100"/>
            </a:pPr>
            <a:endParaRPr lang="en-US"/>
          </a:p>
        </c:txPr>
        <c:crossAx val="208943744"/>
        <c:crosses val="autoZero"/>
        <c:auto val="1"/>
        <c:lblAlgn val="ctr"/>
        <c:lblOffset val="100"/>
        <c:noMultiLvlLbl val="0"/>
      </c:catAx>
      <c:valAx>
        <c:axId val="208943744"/>
        <c:scaling>
          <c:orientation val="minMax"/>
        </c:scaling>
        <c:delete val="0"/>
        <c:axPos val="l"/>
        <c:majorGridlines/>
        <c:numFmt formatCode="#,##0" sourceLinked="1"/>
        <c:majorTickMark val="out"/>
        <c:minorTickMark val="none"/>
        <c:tickLblPos val="nextTo"/>
        <c:spPr>
          <a:ln>
            <a:noFill/>
          </a:ln>
        </c:spPr>
        <c:crossAx val="208942208"/>
        <c:crosses val="autoZero"/>
        <c:crossBetween val="between"/>
      </c:valAx>
    </c:plotArea>
    <c:plotVisOnly val="1"/>
    <c:dispBlanksAs val="gap"/>
    <c:showDLblsOverMax val="0"/>
  </c:chart>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endParaRPr lang="en-GB"/>
          </a:p>
        </c:rich>
      </c:tx>
      <c:layout>
        <c:manualLayout>
          <c:xMode val="edge"/>
          <c:yMode val="edge"/>
          <c:x val="8.1591886810082559E-2"/>
          <c:y val="2.3466667323651227E-2"/>
        </c:manualLayout>
      </c:layout>
      <c:overlay val="0"/>
    </c:title>
    <c:autoTitleDeleted val="0"/>
    <c:plotArea>
      <c:layout/>
      <c:barChart>
        <c:barDir val="col"/>
        <c:grouping val="clustered"/>
        <c:varyColors val="0"/>
        <c:ser>
          <c:idx val="0"/>
          <c:order val="0"/>
          <c:invertIfNegative val="0"/>
          <c:dPt>
            <c:idx val="0"/>
            <c:invertIfNegative val="0"/>
            <c:bubble3D val="0"/>
            <c:spPr>
              <a:gradFill>
                <a:gsLst>
                  <a:gs pos="0">
                    <a:schemeClr val="accent3">
                      <a:lumMod val="75000"/>
                    </a:schemeClr>
                  </a:gs>
                  <a:gs pos="64000">
                    <a:srgbClr val="C00000"/>
                  </a:gs>
                  <a:gs pos="43000">
                    <a:schemeClr val="accent3">
                      <a:lumMod val="75000"/>
                    </a:schemeClr>
                  </a:gs>
                  <a:gs pos="100000">
                    <a:srgbClr val="C00000"/>
                  </a:gs>
                </a:gsLst>
                <a:lin ang="5400000" scaled="1"/>
              </a:gradFill>
              <a:ln>
                <a:noFill/>
              </a:ln>
            </c:spPr>
            <c:extLst>
              <c:ext xmlns:c16="http://schemas.microsoft.com/office/drawing/2014/chart" uri="{C3380CC4-5D6E-409C-BE32-E72D297353CC}">
                <c16:uniqueId val="{00000001-0795-4D6C-B999-67D468EB7E73}"/>
              </c:ext>
            </c:extLst>
          </c:dPt>
          <c:dPt>
            <c:idx val="1"/>
            <c:invertIfNegative val="0"/>
            <c:bubble3D val="0"/>
            <c:spPr>
              <a:gradFill>
                <a:gsLst>
                  <a:gs pos="0">
                    <a:schemeClr val="accent3">
                      <a:lumMod val="75000"/>
                    </a:schemeClr>
                  </a:gs>
                  <a:gs pos="60000">
                    <a:srgbClr val="FFC000"/>
                  </a:gs>
                  <a:gs pos="41000">
                    <a:schemeClr val="accent3">
                      <a:lumMod val="75000"/>
                    </a:schemeClr>
                  </a:gs>
                  <a:gs pos="100000">
                    <a:srgbClr val="FFC000"/>
                  </a:gs>
                </a:gsLst>
                <a:lin ang="5400000" scaled="1"/>
              </a:gradFill>
            </c:spPr>
            <c:extLst>
              <c:ext xmlns:c16="http://schemas.microsoft.com/office/drawing/2014/chart" uri="{C3380CC4-5D6E-409C-BE32-E72D297353CC}">
                <c16:uniqueId val="{00000003-0795-4D6C-B999-67D468EB7E73}"/>
              </c:ext>
            </c:extLst>
          </c:dPt>
          <c:dPt>
            <c:idx val="2"/>
            <c:invertIfNegative val="0"/>
            <c:bubble3D val="0"/>
            <c:spPr>
              <a:gradFill>
                <a:gsLst>
                  <a:gs pos="0">
                    <a:schemeClr val="accent3">
                      <a:lumMod val="75000"/>
                    </a:schemeClr>
                  </a:gs>
                  <a:gs pos="59000">
                    <a:srgbClr val="FFC000"/>
                  </a:gs>
                  <a:gs pos="42000">
                    <a:srgbClr val="FFC000"/>
                  </a:gs>
                  <a:gs pos="83000">
                    <a:srgbClr val="0070C0"/>
                  </a:gs>
                  <a:gs pos="17000">
                    <a:schemeClr val="accent3">
                      <a:lumMod val="75000"/>
                    </a:schemeClr>
                  </a:gs>
                  <a:gs pos="100000">
                    <a:srgbClr val="0070C0"/>
                  </a:gs>
                </a:gsLst>
                <a:lin ang="5400000" scaled="1"/>
              </a:gradFill>
            </c:spPr>
            <c:extLst>
              <c:ext xmlns:c16="http://schemas.microsoft.com/office/drawing/2014/chart" uri="{C3380CC4-5D6E-409C-BE32-E72D297353CC}">
                <c16:uniqueId val="{00000005-0795-4D6C-B999-67D468EB7E73}"/>
              </c:ext>
            </c:extLst>
          </c:dPt>
          <c:dPt>
            <c:idx val="3"/>
            <c:invertIfNegative val="0"/>
            <c:bubble3D val="0"/>
            <c:spPr>
              <a:gradFill>
                <a:gsLst>
                  <a:gs pos="0">
                    <a:schemeClr val="accent3">
                      <a:lumMod val="75000"/>
                    </a:schemeClr>
                  </a:gs>
                  <a:gs pos="60000">
                    <a:srgbClr val="0070C0"/>
                  </a:gs>
                  <a:gs pos="40000">
                    <a:schemeClr val="accent3">
                      <a:lumMod val="75000"/>
                    </a:schemeClr>
                  </a:gs>
                  <a:gs pos="100000">
                    <a:srgbClr val="0070C0"/>
                  </a:gs>
                </a:gsLst>
                <a:lin ang="5400000" scaled="1"/>
              </a:gradFill>
            </c:spPr>
            <c:extLst>
              <c:ext xmlns:c16="http://schemas.microsoft.com/office/drawing/2014/chart" uri="{C3380CC4-5D6E-409C-BE32-E72D297353CC}">
                <c16:uniqueId val="{00000007-0795-4D6C-B999-67D468EB7E73}"/>
              </c:ext>
            </c:extLst>
          </c:dPt>
          <c:dPt>
            <c:idx val="4"/>
            <c:invertIfNegative val="0"/>
            <c:bubble3D val="0"/>
            <c:spPr>
              <a:solidFill>
                <a:schemeClr val="accent2">
                  <a:lumMod val="50000"/>
                </a:schemeClr>
              </a:solidFill>
            </c:spPr>
            <c:extLst>
              <c:ext xmlns:c16="http://schemas.microsoft.com/office/drawing/2014/chart" uri="{C3380CC4-5D6E-409C-BE32-E72D297353CC}">
                <c16:uniqueId val="{00000009-0795-4D6C-B999-67D468EB7E73}"/>
              </c:ext>
            </c:extLst>
          </c:dPt>
          <c:dPt>
            <c:idx val="5"/>
            <c:invertIfNegative val="0"/>
            <c:bubble3D val="0"/>
            <c:spPr>
              <a:gradFill>
                <a:gsLst>
                  <a:gs pos="0">
                    <a:schemeClr val="accent3">
                      <a:lumMod val="75000"/>
                    </a:schemeClr>
                  </a:gs>
                  <a:gs pos="71000">
                    <a:srgbClr val="FFC000"/>
                  </a:gs>
                  <a:gs pos="46000">
                    <a:srgbClr val="C00000"/>
                  </a:gs>
                  <a:gs pos="29000">
                    <a:srgbClr val="C00000"/>
                  </a:gs>
                  <a:gs pos="58000">
                    <a:srgbClr val="FFC000"/>
                  </a:gs>
                  <a:gs pos="18000">
                    <a:schemeClr val="accent3">
                      <a:lumMod val="75000"/>
                    </a:schemeClr>
                  </a:gs>
                  <a:gs pos="85000">
                    <a:srgbClr val="0070C0"/>
                  </a:gs>
                  <a:gs pos="100000">
                    <a:srgbClr val="0070C0"/>
                  </a:gs>
                </a:gsLst>
                <a:lin ang="5400000" scaled="0"/>
              </a:gradFill>
            </c:spPr>
            <c:extLst>
              <c:ext xmlns:c16="http://schemas.microsoft.com/office/drawing/2014/chart" uri="{C3380CC4-5D6E-409C-BE32-E72D297353CC}">
                <c16:uniqueId val="{0000000B-0795-4D6C-B999-67D468EB7E73}"/>
              </c:ext>
            </c:extLst>
          </c:dPt>
          <c:dPt>
            <c:idx val="6"/>
            <c:invertIfNegative val="0"/>
            <c:bubble3D val="0"/>
            <c:spPr>
              <a:gradFill>
                <a:gsLst>
                  <a:gs pos="0">
                    <a:schemeClr val="accent3">
                      <a:lumMod val="75000"/>
                    </a:schemeClr>
                  </a:gs>
                  <a:gs pos="60000">
                    <a:srgbClr val="C00000"/>
                  </a:gs>
                  <a:gs pos="41000">
                    <a:srgbClr val="C00000"/>
                  </a:gs>
                  <a:gs pos="26000">
                    <a:schemeClr val="accent3">
                      <a:lumMod val="75000"/>
                    </a:schemeClr>
                  </a:gs>
                  <a:gs pos="78000">
                    <a:srgbClr val="FFC000"/>
                  </a:gs>
                  <a:gs pos="100000">
                    <a:srgbClr val="FFC000"/>
                  </a:gs>
                </a:gsLst>
                <a:lin ang="5400000" scaled="1"/>
              </a:gradFill>
            </c:spPr>
            <c:extLst>
              <c:ext xmlns:c16="http://schemas.microsoft.com/office/drawing/2014/chart" uri="{C3380CC4-5D6E-409C-BE32-E72D297353CC}">
                <c16:uniqueId val="{0000000D-0795-4D6C-B999-67D468EB7E73}"/>
              </c:ext>
            </c:extLst>
          </c:dPt>
          <c:dPt>
            <c:idx val="7"/>
            <c:invertIfNegative val="0"/>
            <c:bubble3D val="0"/>
            <c:spPr>
              <a:gradFill>
                <a:gsLst>
                  <a:gs pos="0">
                    <a:schemeClr val="accent3">
                      <a:lumMod val="75000"/>
                    </a:schemeClr>
                  </a:gs>
                  <a:gs pos="36000">
                    <a:schemeClr val="accent3">
                      <a:lumMod val="75000"/>
                    </a:schemeClr>
                  </a:gs>
                  <a:gs pos="61000">
                    <a:schemeClr val="accent4">
                      <a:lumMod val="75000"/>
                    </a:schemeClr>
                  </a:gs>
                  <a:gs pos="100000">
                    <a:schemeClr val="accent4">
                      <a:lumMod val="75000"/>
                    </a:schemeClr>
                  </a:gs>
                </a:gsLst>
                <a:lin ang="5400000" scaled="1"/>
              </a:gradFill>
            </c:spPr>
            <c:extLst>
              <c:ext xmlns:c16="http://schemas.microsoft.com/office/drawing/2014/chart" uri="{C3380CC4-5D6E-409C-BE32-E72D297353CC}">
                <c16:uniqueId val="{0000000F-0795-4D6C-B999-67D468EB7E73}"/>
              </c:ext>
            </c:extLst>
          </c:dPt>
          <c:dPt>
            <c:idx val="8"/>
            <c:invertIfNegative val="0"/>
            <c:bubble3D val="0"/>
            <c:spPr>
              <a:gradFill>
                <a:gsLst>
                  <a:gs pos="0">
                    <a:srgbClr val="C00000"/>
                  </a:gs>
                  <a:gs pos="64000">
                    <a:srgbClr val="FFC000"/>
                  </a:gs>
                  <a:gs pos="47000">
                    <a:srgbClr val="C00000"/>
                  </a:gs>
                  <a:gs pos="100000">
                    <a:srgbClr val="FFC000"/>
                  </a:gs>
                </a:gsLst>
                <a:lin ang="5400000" scaled="1"/>
              </a:gradFill>
            </c:spPr>
            <c:extLst>
              <c:ext xmlns:c16="http://schemas.microsoft.com/office/drawing/2014/chart" uri="{C3380CC4-5D6E-409C-BE32-E72D297353CC}">
                <c16:uniqueId val="{00000011-0795-4D6C-B999-67D468EB7E73}"/>
              </c:ext>
            </c:extLst>
          </c:dPt>
          <c:dPt>
            <c:idx val="9"/>
            <c:invertIfNegative val="0"/>
            <c:bubble3D val="0"/>
            <c:spPr>
              <a:gradFill>
                <a:gsLst>
                  <a:gs pos="0">
                    <a:srgbClr val="FFC000"/>
                  </a:gs>
                  <a:gs pos="44000">
                    <a:srgbClr val="FFC000"/>
                  </a:gs>
                  <a:gs pos="63000">
                    <a:srgbClr val="0070C0"/>
                  </a:gs>
                  <a:gs pos="100000">
                    <a:schemeClr val="accent1"/>
                  </a:gs>
                </a:gsLst>
                <a:lin ang="5400000" scaled="1"/>
              </a:gradFill>
            </c:spPr>
            <c:extLst>
              <c:ext xmlns:c16="http://schemas.microsoft.com/office/drawing/2014/chart" uri="{C3380CC4-5D6E-409C-BE32-E72D297353CC}">
                <c16:uniqueId val="{00000013-0795-4D6C-B999-67D468EB7E73}"/>
              </c:ext>
            </c:extLst>
          </c:dPt>
          <c:dPt>
            <c:idx val="10"/>
            <c:invertIfNegative val="0"/>
            <c:bubble3D val="0"/>
            <c:spPr>
              <a:gradFill>
                <a:gsLst>
                  <a:gs pos="0">
                    <a:srgbClr val="C00000"/>
                  </a:gs>
                  <a:gs pos="43000">
                    <a:srgbClr val="C00000"/>
                  </a:gs>
                  <a:gs pos="59000">
                    <a:srgbClr val="FFC000"/>
                  </a:gs>
                  <a:gs pos="100000">
                    <a:srgbClr val="FFC000"/>
                  </a:gs>
                </a:gsLst>
                <a:lin ang="5400000" scaled="1"/>
              </a:gradFill>
            </c:spPr>
            <c:extLst>
              <c:ext xmlns:c16="http://schemas.microsoft.com/office/drawing/2014/chart" uri="{C3380CC4-5D6E-409C-BE32-E72D297353CC}">
                <c16:uniqueId val="{00000015-0795-4D6C-B999-67D468EB7E73}"/>
              </c:ext>
            </c:extLst>
          </c:dPt>
          <c:dPt>
            <c:idx val="11"/>
            <c:invertIfNegative val="0"/>
            <c:bubble3D val="0"/>
            <c:spPr>
              <a:gradFill>
                <a:gsLst>
                  <a:gs pos="0">
                    <a:schemeClr val="accent3">
                      <a:lumMod val="75000"/>
                    </a:schemeClr>
                  </a:gs>
                  <a:gs pos="63000">
                    <a:schemeClr val="accent4">
                      <a:lumMod val="75000"/>
                    </a:schemeClr>
                  </a:gs>
                  <a:gs pos="42000">
                    <a:schemeClr val="accent4">
                      <a:lumMod val="75000"/>
                    </a:schemeClr>
                  </a:gs>
                  <a:gs pos="25000">
                    <a:schemeClr val="accent3">
                      <a:lumMod val="75000"/>
                    </a:schemeClr>
                  </a:gs>
                  <a:gs pos="77000">
                    <a:srgbClr val="FFC000"/>
                  </a:gs>
                  <a:gs pos="100000">
                    <a:srgbClr val="FFC000"/>
                  </a:gs>
                </a:gsLst>
                <a:lin ang="5400000" scaled="1"/>
              </a:gradFill>
            </c:spPr>
            <c:extLst>
              <c:ext xmlns:c16="http://schemas.microsoft.com/office/drawing/2014/chart" uri="{C3380CC4-5D6E-409C-BE32-E72D297353CC}">
                <c16:uniqueId val="{00000017-0795-4D6C-B999-67D468EB7E73}"/>
              </c:ext>
            </c:extLst>
          </c:dPt>
          <c:dPt>
            <c:idx val="12"/>
            <c:invertIfNegative val="0"/>
            <c:bubble3D val="0"/>
            <c:spPr>
              <a:solidFill>
                <a:schemeClr val="bg1">
                  <a:lumMod val="75000"/>
                </a:schemeClr>
              </a:solidFill>
            </c:spPr>
            <c:extLst>
              <c:ext xmlns:c16="http://schemas.microsoft.com/office/drawing/2014/chart" uri="{C3380CC4-5D6E-409C-BE32-E72D297353CC}">
                <c16:uniqueId val="{00000019-0795-4D6C-B999-67D468EB7E73}"/>
              </c:ext>
            </c:extLst>
          </c:dPt>
          <c:dLbls>
            <c:dLbl>
              <c:idx val="0"/>
              <c:tx>
                <c:strRef>
                  <c:f>'Ch2. Cross filings'!$D$71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{9FCF0119-B6A7-46E6-83AD-63485BFBA68D}</c15:txfldGUID>
                      <c15:f>'Ch2. Cross filings'!$D$71</c15:f>
                      <c15:dlblFieldTableCache>
                        <c:ptCount val="1"/>
                        <c:pt idx="0">
                          <c:v>14%</c:v>
                        </c:pt>
                      </c15:dlblFieldTableCache>
                    </c15:dlblFTEntry>
                  </c15:dlblFieldTable>
                  <c15:showDataLabelsRange val="0"/>
                </c:ext>
                <c:ext xmlns:c16="http://schemas.microsoft.com/office/drawing/2014/chart" uri="{C3380CC4-5D6E-409C-BE32-E72D297353CC}">
                  <c16:uniqueId val="{00000001-0795-4D6C-B999-67D468EB7E73}"/>
                </c:ext>
              </c:extLst>
            </c:dLbl>
            <c:dLbl>
              <c:idx val="1"/>
              <c:tx>
                <c:strRef>
                  <c:f>'Ch2. Cross filings'!$D$72</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{F2829EE4-DA06-4BA1-9A65-B7CDDFF12465}</c15:txfldGUID>
                      <c15:f>'Ch2. Cross filings'!$D$72</c15:f>
                      <c15:dlblFieldTableCache>
                        <c:ptCount val="1"/>
                        <c:pt idx="0">
                          <c:v>14%</c:v>
                        </c:pt>
                      </c15:dlblFieldTableCache>
                    </c15:dlblFTEntry>
                  </c15:dlblFieldTable>
                  <c15:showDataLabelsRange val="0"/>
                </c:ext>
                <c:ext xmlns:c16="http://schemas.microsoft.com/office/drawing/2014/chart" uri="{C3380CC4-5D6E-409C-BE32-E72D297353CC}">
                  <c16:uniqueId val="{00000003-0795-4D6C-B999-67D468EB7E73}"/>
                </c:ext>
              </c:extLst>
            </c:dLbl>
            <c:dLbl>
              <c:idx val="2"/>
              <c:tx>
                <c:strRef>
                  <c:f>'Ch2. Cross filings'!$D$73</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{3B794EB3-D176-4020-B5C1-C8BF5CD6556B}</c15:txfldGUID>
                      <c15:f>'Ch2. Cross filings'!$D$73</c15:f>
                      <c15:dlblFieldTableCache>
                        <c:ptCount val="1"/>
                        <c:pt idx="0">
                          <c:v>11%</c:v>
                        </c:pt>
                      </c15:dlblFieldTableCache>
                    </c15:dlblFTEntry>
                  </c15:dlblFieldTable>
                  <c15:showDataLabelsRange val="0"/>
                </c:ext>
                <c:ext xmlns:c16="http://schemas.microsoft.com/office/drawing/2014/chart" uri="{C3380CC4-5D6E-409C-BE32-E72D297353CC}">
                  <c16:uniqueId val="{00000005-0795-4D6C-B999-67D468EB7E73}"/>
                </c:ext>
              </c:extLst>
            </c:dLbl>
            <c:dLbl>
              <c:idx val="3"/>
              <c:tx>
                <c:strRef>
                  <c:f>'Ch2. Cross filings'!$D$74</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{5EA49AF8-4868-4740-91B2-25FCC5994DF6}</c15:txfldGUID>
                      <c15:f>'Ch2. Cross filings'!$D$74</c15:f>
                      <c15:dlblFieldTableCache>
                        <c:ptCount val="1"/>
                        <c:pt idx="0">
                          <c:v>11%</c:v>
                        </c:pt>
                      </c15:dlblFieldTableCache>
                    </c15:dlblFTEntry>
                  </c15:dlblFieldTable>
                  <c15:showDataLabelsRange val="0"/>
                </c:ext>
                <c:ext xmlns:c16="http://schemas.microsoft.com/office/drawing/2014/chart" uri="{C3380CC4-5D6E-409C-BE32-E72D297353CC}">
                  <c16:uniqueId val="{00000007-0795-4D6C-B999-67D468EB7E73}"/>
                </c:ext>
              </c:extLst>
            </c:dLbl>
            <c:dLbl>
              <c:idx val="4"/>
              <c:tx>
                <c:strRef>
                  <c:f>'Ch2. Cross filings'!$D$75</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{7154459C-5805-4867-A0A1-38EF4879A929}</c15:txfldGUID>
                      <c15:f>'Ch2. Cross filings'!$D$75</c15:f>
                      <c15:dlblFieldTableCache>
                        <c:ptCount val="1"/>
                        <c:pt idx="0">
                          <c:v>6%</c:v>
                        </c:pt>
                      </c15:dlblFieldTableCache>
                    </c15:dlblFTEntry>
                  </c15:dlblFieldTable>
                  <c15:showDataLabelsRange val="0"/>
                </c:ext>
                <c:ext xmlns:c16="http://schemas.microsoft.com/office/drawing/2014/chart" uri="{C3380CC4-5D6E-409C-BE32-E72D297353CC}">
                  <c16:uniqueId val="{00000009-0795-4D6C-B999-67D468EB7E73}"/>
                </c:ext>
              </c:extLst>
            </c:dLbl>
            <c:dLbl>
              <c:idx val="5"/>
              <c:tx>
                <c:strRef>
                  <c:f>'Ch2. Cross filings'!$D$76</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{4C9DE095-A734-4959-B78F-22E30A042D28}</c15:txfldGUID>
                      <c15:f>'Ch2. Cross filings'!$D$76</c15:f>
                      <c15:dlblFieldTableCache>
                        <c:ptCount val="1"/>
                        <c:pt idx="0">
                          <c:v>6%</c:v>
                        </c:pt>
                      </c15:dlblFieldTableCache>
                    </c15:dlblFTEntry>
                  </c15:dlblFieldTable>
                  <c15:showDataLabelsRange val="0"/>
                </c:ext>
                <c:ext xmlns:c16="http://schemas.microsoft.com/office/drawing/2014/chart" uri="{C3380CC4-5D6E-409C-BE32-E72D297353CC}">
                  <c16:uniqueId val="{0000000B-0795-4D6C-B999-67D468EB7E73}"/>
                </c:ext>
              </c:extLst>
            </c:dLbl>
            <c:dLbl>
              <c:idx val="6"/>
              <c:tx>
                <c:strRef>
                  <c:f>'Ch2. Cross filings'!$D$77</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{630763F0-CDBF-4366-98AC-6DD7C13B50AA}</c15:txfldGUID>
                      <c15:f>'Ch2. Cross filings'!$D$77</c15:f>
                      <c15:dlblFieldTableCache>
                        <c:ptCount val="1"/>
                        <c:pt idx="0">
                          <c:v>5%</c:v>
                        </c:pt>
                      </c15:dlblFieldTableCache>
                    </c15:dlblFTEntry>
                  </c15:dlblFieldTable>
                  <c15:showDataLabelsRange val="0"/>
                </c:ext>
                <c:ext xmlns:c16="http://schemas.microsoft.com/office/drawing/2014/chart" uri="{C3380CC4-5D6E-409C-BE32-E72D297353CC}">
                  <c16:uniqueId val="{0000000D-0795-4D6C-B999-67D468EB7E73}"/>
                </c:ext>
              </c:extLst>
            </c:dLbl>
            <c:dLbl>
              <c:idx val="7"/>
              <c:tx>
                <c:strRef>
                  <c:f>'Ch2. Cross filings'!$D$78</c:f>
                  <c:strCache>
                    <c:ptCount val="1"/>
                    <c:pt idx="0">
                      <c:v>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{63572AC5-95B9-4B7C-80C6-9F8FBDD47D2F}</c15:txfldGUID>
                      <c15:f>'Ch2. Cross filings'!$D$78</c15:f>
                      <c15:dlblFieldTableCache>
                        <c:ptCount val="1"/>
                        <c:pt idx="0">
                          <c:v>5%</c:v>
                        </c:pt>
                      </c15:dlblFieldTableCache>
                    </c15:dlblFTEntry>
                  </c15:dlblFieldTable>
                  <c15:showDataLabelsRange val="0"/>
                </c:ext>
                <c:ext xmlns:c16="http://schemas.microsoft.com/office/drawing/2014/chart" uri="{C3380CC4-5D6E-409C-BE32-E72D297353CC}">
                  <c16:uniqueId val="{0000000F-0795-4D6C-B999-67D468EB7E73}"/>
                </c:ext>
              </c:extLst>
            </c:dLbl>
            <c:dLbl>
              <c:idx val="8"/>
              <c:tx>
                <c:strRef>
                  <c:f>'Ch2. Cross filings'!$D$79</c:f>
                  <c:strCache>
                    <c:ptCount val="1"/>
                    <c:pt idx="0">
                      <c:v>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{6DF278E8-8D26-4FAF-8813-73E57C7299E6}</c15:txfldGUID>
                      <c15:f>'Ch2. Cross filings'!$D$79</c15:f>
                      <c15:dlblFieldTableCache>
                        <c:ptCount val="1"/>
                        <c:pt idx="0">
                          <c:v>4%</c:v>
                        </c:pt>
                      </c15:dlblFieldTableCache>
                    </c15:dlblFTEntry>
                  </c15:dlblFieldTable>
                  <c15:showDataLabelsRange val="0"/>
                </c:ext>
                <c:ext xmlns:c16="http://schemas.microsoft.com/office/drawing/2014/chart" uri="{C3380CC4-5D6E-409C-BE32-E72D297353CC}">
                  <c16:uniqueId val="{00000011-0795-4D6C-B999-67D468EB7E73}"/>
                </c:ext>
              </c:extLst>
            </c:dLbl>
            <c:dLbl>
              <c:idx val="9"/>
              <c:tx>
                <c:strRef>
                  <c:f>'Ch2. Cross filings'!$D$80</c:f>
                  <c:strCache>
                    <c:ptCount val="1"/>
                    <c:pt idx="0">
                      <c:v>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{AA8BD4DC-61C3-4981-9E8B-B753EB27B29B}</c15:txfldGUID>
                      <c15:f>'Ch2. Cross filings'!$D$80</c15:f>
                      <c15:dlblFieldTableCache>
                        <c:ptCount val="1"/>
                        <c:pt idx="0">
                          <c:v>4%</c:v>
                        </c:pt>
                      </c15:dlblFieldTableCache>
                    </c15:dlblFTEntry>
                  </c15:dlblFieldTable>
                  <c15:showDataLabelsRange val="0"/>
                </c:ext>
                <c:ext xmlns:c16="http://schemas.microsoft.com/office/drawing/2014/chart" uri="{C3380CC4-5D6E-409C-BE32-E72D297353CC}">
                  <c16:uniqueId val="{00000013-0795-4D6C-B999-67D468EB7E73}"/>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'Ch2. Cross filings'!$B$71:$B$80</c:f>
              <c:strCache>
                <c:ptCount val="10"/>
                <c:pt idx="0">
                  <c:v>JP-US</c:v>
                </c:pt>
                <c:pt idx="1">
                  <c:v>CN-US</c:v>
                </c:pt>
                <c:pt idx="2">
                  <c:v>EP-CN-US</c:v>
                </c:pt>
                <c:pt idx="3">
                  <c:v>EP-US</c:v>
                </c:pt>
                <c:pt idx="4">
                  <c:v>IP5</c:v>
                </c:pt>
                <c:pt idx="5">
                  <c:v>EP-CN-JP-US</c:v>
                </c:pt>
                <c:pt idx="6">
                  <c:v>CN-JP-US</c:v>
                </c:pt>
                <c:pt idx="7">
                  <c:v>KR-US</c:v>
                </c:pt>
                <c:pt idx="8">
                  <c:v>CN-JP</c:v>
                </c:pt>
                <c:pt idx="9">
                  <c:v>EP-CN</c:v>
                </c:pt>
              </c:strCache>
            </c:strRef>
          </c:cat>
          <c:val>
            <c:numRef>
              <c:f>'Ch2. Cross filings'!$C$71:$C$80</c:f>
              <c:numCache>
                <c:formatCode>General</c:formatCode>
                <c:ptCount val="10"/>
                <c:pt idx="0" formatCode="#,##0">
                  <c:v>41400</c:v>
                </c:pt>
                <c:pt idx="1">
                  <c:v>35771</c:v>
                </c:pt>
                <c:pt idx="2">
                  <c:v>31050</c:v>
                </c:pt>
                <c:pt idx="3">
                  <c:v>30632</c:v>
                </c:pt>
                <c:pt idx="4">
                  <c:v>23237</c:v>
                </c:pt>
                <c:pt idx="5">
                  <c:v>19962</c:v>
                </c:pt>
                <c:pt idx="6">
                  <c:v>16275</c:v>
                </c:pt>
                <c:pt idx="7">
                  <c:v>12841</c:v>
                </c:pt>
                <c:pt idx="8">
                  <c:v>10252</c:v>
                </c:pt>
                <c:pt idx="9">
                  <c:v>10158</c:v>
                </c:pt>
              </c:numCache>
            </c:numRef>
          </c:val>
          <c:extLst>
            <c:ext xmlns:c16="http://schemas.microsoft.com/office/drawing/2014/chart" uri="{C3380CC4-5D6E-409C-BE32-E72D297353CC}">
              <c16:uniqueId val="{0000001A-0795-4D6C-B999-67D468EB7E73}"/>
            </c:ext>
          </c:extLst>
        </c:ser>
        <c:dLbls>
          <c:showLegendKey val="0"/>
          <c:showVal val="0"/>
          <c:showCatName val="0"/>
          <c:showSerName val="0"/>
          <c:showPercent val="0"/>
          <c:showBubbleSize val="0"/>
        </c:dLbls>
        <c:gapWidth val="50"/>
        <c:axId val="208942208"/>
        <c:axId val="208943744"/>
      </c:barChart>
      <c:catAx>
        <c:axId val="208942208"/>
        <c:scaling>
          <c:orientation val="minMax"/>
        </c:scaling>
        <c:delete val="0"/>
        <c:axPos val="b"/>
        <c:numFmt formatCode="General" sourceLinked="0"/>
        <c:majorTickMark val="none"/>
        <c:minorTickMark val="none"/>
        <c:tickLblPos val="nextTo"/>
        <c:spPr>
          <a:ln>
            <a:noFill/>
          </a:ln>
        </c:spPr>
        <c:txPr>
          <a:bodyPr rot="-5400000" vert="horz"/>
          <a:lstStyle/>
          <a:p>
            <a:pPr>
              <a:defRPr sz="1100"/>
            </a:pPr>
            <a:endParaRPr lang="en-US"/>
          </a:p>
        </c:txPr>
        <c:crossAx val="208943744"/>
        <c:crosses val="autoZero"/>
        <c:auto val="1"/>
        <c:lblAlgn val="ctr"/>
        <c:lblOffset val="100"/>
        <c:noMultiLvlLbl val="0"/>
      </c:catAx>
      <c:valAx>
        <c:axId val="208943744"/>
        <c:scaling>
          <c:orientation val="minMax"/>
        </c:scaling>
        <c:delete val="0"/>
        <c:axPos val="l"/>
        <c:majorGridlines/>
        <c:numFmt formatCode="#,##0" sourceLinked="1"/>
        <c:majorTickMark val="out"/>
        <c:minorTickMark val="none"/>
        <c:tickLblPos val="nextTo"/>
        <c:spPr>
          <a:ln>
            <a:noFill/>
          </a:ln>
        </c:spPr>
        <c:crossAx val="208942208"/>
        <c:crosses val="autoZero"/>
        <c:crossBetween val="between"/>
      </c:valAx>
    </c:plotArea>
    <c:plotVisOnly val="1"/>
    <c:dispBlanksAs val="gap"/>
    <c:showDLblsOverMax val="0"/>
  </c:chart>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EPC states</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square"/>
            <c:size val="7"/>
            <c:spPr>
              <a:solidFill>
                <a:schemeClr val="bg1"/>
              </a:solidFill>
              <a:ln w="19050">
                <a:solidFill>
                  <a:schemeClr val="accent1"/>
                </a:solidFill>
              </a:ln>
              <a:effectLst/>
            </c:spPr>
          </c:marker>
          <c:dLbls>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filings'!$M$63:$Z$63</c:f>
              <c:numCache>
                <c:formatCode>0%</c:formatCode>
                <c:ptCount val="14"/>
                <c:pt idx="0">
                  <c:v>0.57772587674936093</c:v>
                </c:pt>
                <c:pt idx="1">
                  <c:v>0.57754785269482811</c:v>
                </c:pt>
                <c:pt idx="2">
                  <c:v>0.55597958579207585</c:v>
                </c:pt>
                <c:pt idx="3">
                  <c:v>0.56065925458080312</c:v>
                </c:pt>
                <c:pt idx="4">
                  <c:v>0.54793967096365537</c:v>
                </c:pt>
                <c:pt idx="5">
                  <c:v>0.5428245718225444</c:v>
                </c:pt>
                <c:pt idx="6">
                  <c:v>0.54388327114154356</c:v>
                </c:pt>
                <c:pt idx="7">
                  <c:v>0.52354977374789446</c:v>
                </c:pt>
                <c:pt idx="8">
                  <c:v>0.53439797763784935</c:v>
                </c:pt>
                <c:pt idx="9">
                  <c:v>0.53936379471352214</c:v>
                </c:pt>
                <c:pt idx="10">
                  <c:v>0.53205306706977484</c:v>
                </c:pt>
                <c:pt idx="11">
                  <c:v>0.53475565959937221</c:v>
                </c:pt>
                <c:pt idx="12">
                  <c:v>0.53462827953213954</c:v>
                </c:pt>
                <c:pt idx="13">
                  <c:v>0.53</c:v>
                </c:pt>
              </c:numCache>
            </c:numRef>
          </c:val>
          <c:smooth val="0"/>
          <c:extLst>
            <c:ext xmlns:c16="http://schemas.microsoft.com/office/drawing/2014/chart" uri="{C3380CC4-5D6E-409C-BE32-E72D297353CC}">
              <c16:uniqueId val="{00000000-DEF0-4DCB-B6DA-008FC6C35AD3}"/>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CCECFF"/>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Japan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FF0000"/>
              </a:solidFill>
              <a:round/>
            </a:ln>
            <a:effectLst/>
          </c:spPr>
          <c:marker>
            <c:symbol val="square"/>
            <c:size val="7"/>
            <c:spPr>
              <a:solidFill>
                <a:schemeClr val="bg1"/>
              </a:solidFill>
              <a:ln w="19050">
                <a:solidFill>
                  <a:srgbClr val="FF0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filings'!$M$64:$Z$64</c:f>
              <c:numCache>
                <c:formatCode>0%</c:formatCode>
                <c:ptCount val="14"/>
                <c:pt idx="0">
                  <c:v>0.70548726077873547</c:v>
                </c:pt>
                <c:pt idx="1">
                  <c:v>0.68447348007369335</c:v>
                </c:pt>
                <c:pt idx="2">
                  <c:v>0.67947758990610796</c:v>
                </c:pt>
                <c:pt idx="3">
                  <c:v>0.65237217075595388</c:v>
                </c:pt>
                <c:pt idx="4">
                  <c:v>0.64382411409953089</c:v>
                </c:pt>
                <c:pt idx="5">
                  <c:v>0.64109559116760273</c:v>
                </c:pt>
                <c:pt idx="6">
                  <c:v>0.6408047703249431</c:v>
                </c:pt>
                <c:pt idx="7">
                  <c:v>0.62697667053731654</c:v>
                </c:pt>
                <c:pt idx="8">
                  <c:v>0.62825480818690926</c:v>
                </c:pt>
                <c:pt idx="9">
                  <c:v>0.62421977812894736</c:v>
                </c:pt>
                <c:pt idx="10">
                  <c:v>0.60807523270931874</c:v>
                </c:pt>
                <c:pt idx="11">
                  <c:v>0.59671604400392109</c:v>
                </c:pt>
                <c:pt idx="12">
                  <c:v>0.59231353585036162</c:v>
                </c:pt>
                <c:pt idx="13">
                  <c:v>0.6</c:v>
                </c:pt>
              </c:numCache>
            </c:numRef>
          </c:val>
          <c:smooth val="0"/>
          <c:extLst>
            <c:ext xmlns:c16="http://schemas.microsoft.com/office/drawing/2014/chart" uri="{C3380CC4-5D6E-409C-BE32-E72D297353CC}">
              <c16:uniqueId val="{00000000-DF2A-453C-8059-49138A517A26}"/>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CB7A2"/>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R. Korea</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7030A0"/>
              </a:solidFill>
              <a:round/>
            </a:ln>
            <a:effectLst/>
          </c:spPr>
          <c:marker>
            <c:symbol val="square"/>
            <c:size val="7"/>
            <c:spPr>
              <a:solidFill>
                <a:schemeClr val="bg1"/>
              </a:solidFill>
              <a:ln w="19050">
                <a:solidFill>
                  <a:srgbClr val="7030A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filings'!$M$65:$Z$65</c:f>
              <c:numCache>
                <c:formatCode>0%</c:formatCode>
                <c:ptCount val="14"/>
                <c:pt idx="0">
                  <c:v>0.7336429985590609</c:v>
                </c:pt>
                <c:pt idx="1">
                  <c:v>0.76747531155189708</c:v>
                </c:pt>
                <c:pt idx="2">
                  <c:v>0.75337111812810531</c:v>
                </c:pt>
                <c:pt idx="3">
                  <c:v>0.74866766727573308</c:v>
                </c:pt>
                <c:pt idx="4">
                  <c:v>0.74520666828126259</c:v>
                </c:pt>
                <c:pt idx="5">
                  <c:v>0.73518983601713694</c:v>
                </c:pt>
                <c:pt idx="6">
                  <c:v>0.73364324217397758</c:v>
                </c:pt>
                <c:pt idx="7">
                  <c:v>0.72534812140870364</c:v>
                </c:pt>
                <c:pt idx="8">
                  <c:v>0.72477314136686788</c:v>
                </c:pt>
                <c:pt idx="9">
                  <c:v>0.73203237435040747</c:v>
                </c:pt>
                <c:pt idx="10">
                  <c:v>0.73509870530293731</c:v>
                </c:pt>
                <c:pt idx="11">
                  <c:v>0.728041500549096</c:v>
                </c:pt>
                <c:pt idx="12">
                  <c:v>0.72962734131113427</c:v>
                </c:pt>
                <c:pt idx="13">
                  <c:v>0.74</c:v>
                </c:pt>
              </c:numCache>
            </c:numRef>
          </c:val>
          <c:smooth val="0"/>
          <c:extLst>
            <c:ext xmlns:c16="http://schemas.microsoft.com/office/drawing/2014/chart" uri="{C3380CC4-5D6E-409C-BE32-E72D297353CC}">
              <c16:uniqueId val="{00000000-E53E-4FBB-9D89-A9666C1F9E6F}"/>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AB8CF8"/>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P.R. China</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FFC000"/>
              </a:solidFill>
              <a:round/>
            </a:ln>
            <a:effectLst/>
          </c:spPr>
          <c:marker>
            <c:symbol val="square"/>
            <c:size val="7"/>
            <c:spPr>
              <a:solidFill>
                <a:schemeClr val="bg1"/>
              </a:solidFill>
              <a:ln w="19050">
                <a:solidFill>
                  <a:srgbClr val="FFC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filings'!$M$66:$Z$66</c:f>
              <c:numCache>
                <c:formatCode>0%</c:formatCode>
                <c:ptCount val="14"/>
                <c:pt idx="0">
                  <c:v>0.93495025066306903</c:v>
                </c:pt>
                <c:pt idx="1">
                  <c:v>0.93632194366231813</c:v>
                </c:pt>
                <c:pt idx="2">
                  <c:v>0.93425107277596986</c:v>
                </c:pt>
                <c:pt idx="3">
                  <c:v>0.94137625684907345</c:v>
                </c:pt>
                <c:pt idx="4">
                  <c:v>0.94770974661744867</c:v>
                </c:pt>
                <c:pt idx="5">
                  <c:v>0.95298814624160377</c:v>
                </c:pt>
                <c:pt idx="6">
                  <c:v>0.95108220258794307</c:v>
                </c:pt>
                <c:pt idx="7">
                  <c:v>0.95383029567506772</c:v>
                </c:pt>
                <c:pt idx="8">
                  <c:v>0.94859242190043591</c:v>
                </c:pt>
                <c:pt idx="9">
                  <c:v>0.94431180776546464</c:v>
                </c:pt>
                <c:pt idx="10">
                  <c:v>0.94347397683293099</c:v>
                </c:pt>
                <c:pt idx="11">
                  <c:v>0.92982330135729818</c:v>
                </c:pt>
                <c:pt idx="12">
                  <c:v>0.92256554107895261</c:v>
                </c:pt>
                <c:pt idx="13">
                  <c:v>0.92</c:v>
                </c:pt>
              </c:numCache>
            </c:numRef>
          </c:val>
          <c:smooth val="0"/>
          <c:extLst>
            <c:ext xmlns:c16="http://schemas.microsoft.com/office/drawing/2014/chart" uri="{C3380CC4-5D6E-409C-BE32-E72D297353CC}">
              <c16:uniqueId val="{00000000-B881-4827-A6E5-9E0F08D4CB86}"/>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U.S.</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008000"/>
              </a:solidFill>
              <a:round/>
            </a:ln>
            <a:effectLst/>
          </c:spPr>
          <c:marker>
            <c:symbol val="square"/>
            <c:size val="7"/>
            <c:spPr>
              <a:solidFill>
                <a:schemeClr val="bg1"/>
              </a:solidFill>
              <a:ln w="19050">
                <a:solidFill>
                  <a:srgbClr val="008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filings'!$M$67:$Z$67</c:f>
              <c:numCache>
                <c:formatCode>0%</c:formatCode>
                <c:ptCount val="14"/>
                <c:pt idx="0">
                  <c:v>0.68246085958762304</c:v>
                </c:pt>
                <c:pt idx="1">
                  <c:v>0.70673392633275622</c:v>
                </c:pt>
                <c:pt idx="2">
                  <c:v>0.69660328454101705</c:v>
                </c:pt>
                <c:pt idx="3">
                  <c:v>0.68229215760203599</c:v>
                </c:pt>
                <c:pt idx="4">
                  <c:v>0.68210321758868642</c:v>
                </c:pt>
                <c:pt idx="5">
                  <c:v>0.68421786663429673</c:v>
                </c:pt>
                <c:pt idx="6">
                  <c:v>0.67387751202596524</c:v>
                </c:pt>
                <c:pt idx="7">
                  <c:v>0.67894967496895775</c:v>
                </c:pt>
                <c:pt idx="8">
                  <c:v>0.67120161280097379</c:v>
                </c:pt>
                <c:pt idx="9">
                  <c:v>0.67435937875704866</c:v>
                </c:pt>
                <c:pt idx="10">
                  <c:v>0.66311588080589245</c:v>
                </c:pt>
                <c:pt idx="11">
                  <c:v>0.65662910066191915</c:v>
                </c:pt>
                <c:pt idx="12">
                  <c:v>0.64907298775780919</c:v>
                </c:pt>
                <c:pt idx="13">
                  <c:v>0.63</c:v>
                </c:pt>
              </c:numCache>
            </c:numRef>
          </c:val>
          <c:smooth val="0"/>
          <c:extLst>
            <c:ext xmlns:c16="http://schemas.microsoft.com/office/drawing/2014/chart" uri="{C3380CC4-5D6E-409C-BE32-E72D297353CC}">
              <c16:uniqueId val="{00000000-021B-40F9-B091-C73F3AE9448D}"/>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t>Others</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square"/>
            <c:size val="7"/>
            <c:spPr>
              <a:solidFill>
                <a:schemeClr val="bg1"/>
              </a:solidFill>
              <a:ln w="19050">
                <a:solidFill>
                  <a:schemeClr val="accent2"/>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filings'!$M$62:$Z$62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filings'!$M$68:$Z$68</c:f>
              <c:numCache>
                <c:formatCode>0%</c:formatCode>
                <c:ptCount val="14"/>
                <c:pt idx="0">
                  <c:v>0.52645295600043829</c:v>
                </c:pt>
                <c:pt idx="1">
                  <c:v>0.60565930956423319</c:v>
                </c:pt>
                <c:pt idx="2">
                  <c:v>0.53664187380362072</c:v>
                </c:pt>
                <c:pt idx="3">
                  <c:v>0.52089923262600424</c:v>
                </c:pt>
                <c:pt idx="4">
                  <c:v>0.53709573491795914</c:v>
                </c:pt>
                <c:pt idx="5">
                  <c:v>0.5489650608463339</c:v>
                </c:pt>
                <c:pt idx="6">
                  <c:v>0.53531621830133413</c:v>
                </c:pt>
                <c:pt idx="7">
                  <c:v>0.5113487311092102</c:v>
                </c:pt>
                <c:pt idx="8">
                  <c:v>0.54292802228021109</c:v>
                </c:pt>
                <c:pt idx="9">
                  <c:v>0.53322054752383885</c:v>
                </c:pt>
                <c:pt idx="10">
                  <c:v>0.52120549001377603</c:v>
                </c:pt>
                <c:pt idx="11">
                  <c:v>0.47452082350440422</c:v>
                </c:pt>
                <c:pt idx="12">
                  <c:v>0.51150368117797695</c:v>
                </c:pt>
                <c:pt idx="13">
                  <c:v>0.47</c:v>
                </c:pt>
              </c:numCache>
            </c:numRef>
          </c:val>
          <c:smooth val="0"/>
          <c:extLst>
            <c:ext xmlns:c16="http://schemas.microsoft.com/office/drawing/2014/chart" uri="{C3380CC4-5D6E-409C-BE32-E72D297353CC}">
              <c16:uniqueId val="{00000000-B7CC-409C-AD04-280C898C9D97}"/>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905874200"/>
        <c:axId val="905870592"/>
      </c:lineChart>
      <c:catAx>
        <c:axId val="905874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905870592"/>
        <c:crosses val="autoZero"/>
        <c:auto val="1"/>
        <c:lblAlgn val="ctr"/>
        <c:lblOffset val="100"/>
        <c:noMultiLvlLbl val="0"/>
      </c:catAx>
      <c:valAx>
        <c:axId val="905870592"/>
        <c:scaling>
          <c:orientation val="minMax"/>
          <c:max val="1"/>
          <c:min val="0"/>
        </c:scaling>
        <c:delete val="1"/>
        <c:axPos val="l"/>
        <c:numFmt formatCode="0%" sourceLinked="1"/>
        <c:majorTickMark val="none"/>
        <c:minorTickMark val="none"/>
        <c:tickLblPos val="nextTo"/>
        <c:crossAx val="905874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2">
        <a:lumMod val="20000"/>
        <a:lumOff val="80000"/>
      </a:schemeClr>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3.2: WORLDWIDE PATENT FILINGS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42E-2"/>
          <c:y val="0.11239396621187454"/>
          <c:w val="0.96713351814161574"/>
          <c:h val="0.7207169460073839"/>
        </c:manualLayout>
      </c:layout>
      <c:barChart>
        <c:barDir val="col"/>
        <c:grouping val="stacked"/>
        <c:varyColors val="0"/>
        <c:ser>
          <c:idx val="5"/>
          <c:order val="0"/>
          <c:tx>
            <c:strRef>
              <c:f>'Ch3. Patent filings'!$B$48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filings'!$M$48:$Z$48</c:f>
              <c:numCache>
                <c:formatCode>#,##0</c:formatCode>
                <c:ptCount val="14"/>
                <c:pt idx="0">
                  <c:v>127774</c:v>
                </c:pt>
                <c:pt idx="1">
                  <c:v>150195</c:v>
                </c:pt>
                <c:pt idx="2">
                  <c:v>141573</c:v>
                </c:pt>
                <c:pt idx="3">
                  <c:v>138785</c:v>
                </c:pt>
                <c:pt idx="4">
                  <c:v>153643</c:v>
                </c:pt>
                <c:pt idx="5">
                  <c:v>163198</c:v>
                </c:pt>
                <c:pt idx="6">
                  <c:v>159431</c:v>
                </c:pt>
                <c:pt idx="7">
                  <c:v>175350</c:v>
                </c:pt>
                <c:pt idx="8">
                  <c:v>170914</c:v>
                </c:pt>
                <c:pt idx="9">
                  <c:v>169052</c:v>
                </c:pt>
                <c:pt idx="10">
                  <c:v>176393</c:v>
                </c:pt>
                <c:pt idx="11">
                  <c:v>192883</c:v>
                </c:pt>
                <c:pt idx="12">
                  <c:v>199936</c:v>
                </c:pt>
                <c:pt idx="13">
                  <c:v>185481</c:v>
                </c:pt>
              </c:numCache>
            </c:numRef>
          </c:val>
          <c:extLst>
            <c:ext xmlns:c16="http://schemas.microsoft.com/office/drawing/2014/chart" uri="{C3380CC4-5D6E-409C-BE32-E72D297353CC}">
              <c16:uniqueId val="{00000000-423A-4240-9617-22450253F16C}"/>
            </c:ext>
          </c:extLst>
        </c:ser>
        <c:ser>
          <c:idx val="4"/>
          <c:order val="1"/>
          <c:tx>
            <c:strRef>
              <c:f>'Ch3. Patent filings'!$B$47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filings'!$M$47:$Z$47</c:f>
              <c:numCache>
                <c:formatCode>#,##0</c:formatCode>
                <c:ptCount val="14"/>
                <c:pt idx="0">
                  <c:v>316361</c:v>
                </c:pt>
                <c:pt idx="1">
                  <c:v>301518</c:v>
                </c:pt>
                <c:pt idx="2">
                  <c:v>327169</c:v>
                </c:pt>
                <c:pt idx="3">
                  <c:v>339488</c:v>
                </c:pt>
                <c:pt idx="4">
                  <c:v>367418</c:v>
                </c:pt>
                <c:pt idx="5">
                  <c:v>387191</c:v>
                </c:pt>
                <c:pt idx="6">
                  <c:v>387287</c:v>
                </c:pt>
                <c:pt idx="7">
                  <c:v>383348</c:v>
                </c:pt>
                <c:pt idx="8">
                  <c:v>394345</c:v>
                </c:pt>
                <c:pt idx="9">
                  <c:v>386773</c:v>
                </c:pt>
                <c:pt idx="10">
                  <c:v>377569</c:v>
                </c:pt>
                <c:pt idx="11">
                  <c:v>378445</c:v>
                </c:pt>
                <c:pt idx="12">
                  <c:v>358841</c:v>
                </c:pt>
                <c:pt idx="13">
                  <c:v>355827</c:v>
                </c:pt>
              </c:numCache>
            </c:numRef>
          </c:val>
          <c:extLst>
            <c:ext xmlns:c16="http://schemas.microsoft.com/office/drawing/2014/chart" uri="{C3380CC4-5D6E-409C-BE32-E72D297353CC}">
              <c16:uniqueId val="{00000001-423A-4240-9617-22450253F16C}"/>
            </c:ext>
          </c:extLst>
        </c:ser>
        <c:ser>
          <c:idx val="3"/>
          <c:order val="2"/>
          <c:tx>
            <c:strRef>
              <c:f>'Ch3. Patent filings'!$B$46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filings'!$M$46:$Z$46</c:f>
              <c:numCache>
                <c:formatCode>#,##0</c:formatCode>
                <c:ptCount val="14"/>
                <c:pt idx="0">
                  <c:v>130454</c:v>
                </c:pt>
                <c:pt idx="1">
                  <c:v>243993</c:v>
                </c:pt>
                <c:pt idx="2">
                  <c:v>312507</c:v>
                </c:pt>
                <c:pt idx="3">
                  <c:v>439293</c:v>
                </c:pt>
                <c:pt idx="4">
                  <c:v>562667</c:v>
                </c:pt>
                <c:pt idx="5">
                  <c:v>736644</c:v>
                </c:pt>
                <c:pt idx="6">
                  <c:v>839122</c:v>
                </c:pt>
                <c:pt idx="7">
                  <c:v>1011854</c:v>
                </c:pt>
                <c:pt idx="8">
                  <c:v>1265436</c:v>
                </c:pt>
                <c:pt idx="9">
                  <c:v>1318556</c:v>
                </c:pt>
                <c:pt idx="10">
                  <c:v>1476665</c:v>
                </c:pt>
                <c:pt idx="11">
                  <c:v>1336626</c:v>
                </c:pt>
                <c:pt idx="12">
                  <c:v>1456987</c:v>
                </c:pt>
                <c:pt idx="13">
                  <c:v>1545527</c:v>
                </c:pt>
              </c:numCache>
            </c:numRef>
          </c:val>
          <c:extLst>
            <c:ext xmlns:c16="http://schemas.microsoft.com/office/drawing/2014/chart" uri="{C3380CC4-5D6E-409C-BE32-E72D297353CC}">
              <c16:uniqueId val="{00000002-423A-4240-9617-22450253F16C}"/>
            </c:ext>
          </c:extLst>
        </c:ser>
        <c:ser>
          <c:idx val="2"/>
          <c:order val="3"/>
          <c:tx>
            <c:strRef>
              <c:f>'Ch3. Patent filings'!$B$45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filings'!$M$45:$Z$45</c:f>
              <c:numCache>
                <c:formatCode>#,##0</c:formatCode>
                <c:ptCount val="14"/>
                <c:pt idx="0">
                  <c:v>170722</c:v>
                </c:pt>
                <c:pt idx="1">
                  <c:v>165462</c:v>
                </c:pt>
                <c:pt idx="2">
                  <c:v>174497</c:v>
                </c:pt>
                <c:pt idx="3">
                  <c:v>183888</c:v>
                </c:pt>
                <c:pt idx="4">
                  <c:v>198192</c:v>
                </c:pt>
                <c:pt idx="5">
                  <c:v>216608</c:v>
                </c:pt>
                <c:pt idx="6">
                  <c:v>222431</c:v>
                </c:pt>
                <c:pt idx="7">
                  <c:v>229374</c:v>
                </c:pt>
                <c:pt idx="8">
                  <c:v>223928</c:v>
                </c:pt>
                <c:pt idx="9">
                  <c:v>216097</c:v>
                </c:pt>
                <c:pt idx="10">
                  <c:v>219897</c:v>
                </c:pt>
                <c:pt idx="11">
                  <c:v>234021</c:v>
                </c:pt>
                <c:pt idx="12">
                  <c:v>246016</c:v>
                </c:pt>
                <c:pt idx="13">
                  <c:v>252614</c:v>
                </c:pt>
              </c:numCache>
            </c:numRef>
          </c:val>
          <c:extLst>
            <c:ext xmlns:c16="http://schemas.microsoft.com/office/drawing/2014/chart" uri="{C3380CC4-5D6E-409C-BE32-E72D297353CC}">
              <c16:uniqueId val="{00000003-423A-4240-9617-22450253F16C}"/>
            </c:ext>
          </c:extLst>
        </c:ser>
        <c:ser>
          <c:idx val="1"/>
          <c:order val="4"/>
          <c:tx>
            <c:strRef>
              <c:f>'Ch3. Patent filings'!$B$44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filings'!$M$44:$Z$44</c:f>
              <c:numCache>
                <c:formatCode>#,##0</c:formatCode>
                <c:ptCount val="14"/>
                <c:pt idx="0">
                  <c:v>476285</c:v>
                </c:pt>
                <c:pt idx="1">
                  <c:v>412520</c:v>
                </c:pt>
                <c:pt idx="2">
                  <c:v>406424</c:v>
                </c:pt>
                <c:pt idx="3">
                  <c:v>416454</c:v>
                </c:pt>
                <c:pt idx="4">
                  <c:v>418021</c:v>
                </c:pt>
                <c:pt idx="5">
                  <c:v>393687</c:v>
                </c:pt>
                <c:pt idx="6">
                  <c:v>382867</c:v>
                </c:pt>
                <c:pt idx="7">
                  <c:v>378920</c:v>
                </c:pt>
                <c:pt idx="8">
                  <c:v>379093</c:v>
                </c:pt>
                <c:pt idx="9">
                  <c:v>378418</c:v>
                </c:pt>
                <c:pt idx="10">
                  <c:v>376113</c:v>
                </c:pt>
                <c:pt idx="11">
                  <c:v>367240</c:v>
                </c:pt>
                <c:pt idx="12">
                  <c:v>338309</c:v>
                </c:pt>
                <c:pt idx="13">
                  <c:v>325674</c:v>
                </c:pt>
              </c:numCache>
            </c:numRef>
          </c:val>
          <c:extLst>
            <c:ext xmlns:c16="http://schemas.microsoft.com/office/drawing/2014/chart" uri="{C3380CC4-5D6E-409C-BE32-E72D297353CC}">
              <c16:uniqueId val="{00000004-423A-4240-9617-22450253F16C}"/>
            </c:ext>
          </c:extLst>
        </c:ser>
        <c:ser>
          <c:idx val="0"/>
          <c:order val="5"/>
          <c:tx>
            <c:strRef>
              <c:f>'Ch3. Patent filings'!$B$43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filings'!$M$43:$Z$43</c:f>
              <c:numCache>
                <c:formatCode>#,##0</c:formatCode>
                <c:ptCount val="14"/>
                <c:pt idx="0">
                  <c:v>271885</c:v>
                </c:pt>
                <c:pt idx="1">
                  <c:v>269943</c:v>
                </c:pt>
                <c:pt idx="2">
                  <c:v>263346</c:v>
                </c:pt>
                <c:pt idx="3">
                  <c:v>283411</c:v>
                </c:pt>
                <c:pt idx="4">
                  <c:v>292065</c:v>
                </c:pt>
                <c:pt idx="5">
                  <c:v>292986</c:v>
                </c:pt>
                <c:pt idx="6">
                  <c:v>295591</c:v>
                </c:pt>
                <c:pt idx="7">
                  <c:v>291489</c:v>
                </c:pt>
                <c:pt idx="8">
                  <c:v>303012</c:v>
                </c:pt>
                <c:pt idx="9">
                  <c:v>301978</c:v>
                </c:pt>
                <c:pt idx="10">
                  <c:v>301656</c:v>
                </c:pt>
                <c:pt idx="11">
                  <c:v>300728</c:v>
                </c:pt>
                <c:pt idx="12">
                  <c:v>290514</c:v>
                </c:pt>
                <c:pt idx="13">
                  <c:v>285853</c:v>
                </c:pt>
              </c:numCache>
            </c:numRef>
          </c:val>
          <c:extLst>
            <c:ext xmlns:c16="http://schemas.microsoft.com/office/drawing/2014/chart" uri="{C3380CC4-5D6E-409C-BE32-E72D297353CC}">
              <c16:uniqueId val="{00000005-423A-4240-9617-22450253F16C}"/>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filings'!$M$42:$Z$42</c:f>
              <c:numCache>
                <c:formatCode>General</c:formatCode>
                <c:ptCount val="14"/>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'Ch3. Patent filings'!$M$49:$Z$49</c:f>
              <c:numCache>
                <c:formatCode>#,##0</c:formatCode>
                <c:ptCount val="14"/>
                <c:pt idx="0">
                  <c:v>1493481</c:v>
                </c:pt>
                <c:pt idx="1">
                  <c:v>1543631</c:v>
                </c:pt>
                <c:pt idx="2">
                  <c:v>1625516</c:v>
                </c:pt>
                <c:pt idx="3">
                  <c:v>1801319</c:v>
                </c:pt>
                <c:pt idx="4">
                  <c:v>1992006</c:v>
                </c:pt>
                <c:pt idx="5">
                  <c:v>2190314</c:v>
                </c:pt>
                <c:pt idx="6">
                  <c:v>2286729</c:v>
                </c:pt>
                <c:pt idx="7">
                  <c:v>2470335</c:v>
                </c:pt>
                <c:pt idx="8">
                  <c:v>2736728</c:v>
                </c:pt>
                <c:pt idx="9">
                  <c:v>2770874</c:v>
                </c:pt>
                <c:pt idx="10">
                  <c:v>2928293</c:v>
                </c:pt>
                <c:pt idx="11">
                  <c:v>2809943</c:v>
                </c:pt>
                <c:pt idx="12">
                  <c:v>2890603</c:v>
                </c:pt>
                <c:pt idx="13">
                  <c:v>2950976</c:v>
                </c:pt>
              </c:numCache>
            </c:numRef>
          </c:val>
          <c:extLst>
            <c:ext xmlns:c16="http://schemas.microsoft.com/office/drawing/2014/chart" uri="{C3380CC4-5D6E-409C-BE32-E72D297353CC}">
              <c16:uniqueId val="{00000006-423A-4240-9617-22450253F16C}"/>
            </c:ext>
          </c:extLst>
        </c:ser>
        <c:dLbls>
          <c:showLegendKey val="0"/>
          <c:showVal val="0"/>
          <c:showCatName val="0"/>
          <c:showSerName val="0"/>
          <c:showPercent val="0"/>
          <c:showBubbleSize val="0"/>
        </c:dLbls>
        <c:gapWidth val="10"/>
        <c:overlap val="100"/>
        <c:axId val="723679240"/>
        <c:axId val="723686128"/>
      </c:barChart>
      <c:catAx>
        <c:axId val="7236792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3686128"/>
        <c:crosses val="autoZero"/>
        <c:auto val="1"/>
        <c:lblAlgn val="ctr"/>
        <c:lblOffset val="100"/>
        <c:noMultiLvlLbl val="0"/>
      </c:catAx>
      <c:valAx>
        <c:axId val="723686128"/>
        <c:scaling>
          <c:orientation val="minMax"/>
          <c:max val="3000000"/>
        </c:scaling>
        <c:delete val="1"/>
        <c:axPos val="l"/>
        <c:numFmt formatCode="#,##0" sourceLinked="1"/>
        <c:majorTickMark val="none"/>
        <c:minorTickMark val="none"/>
        <c:tickLblPos val="nextTo"/>
        <c:crossAx val="723679240"/>
        <c:crosses val="autoZero"/>
        <c:crossBetween val="between"/>
      </c:valAx>
      <c:spPr>
        <a:noFill/>
        <a:ln w="25400">
          <a:noFill/>
        </a:ln>
        <a:effectLst/>
      </c:spPr>
    </c:plotArea>
    <c:legend>
      <c:legendPos val="b"/>
      <c:legendEntry>
        <c:idx val="2"/>
        <c:delete val="1"/>
      </c:legendEntry>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75000"/>
          <a:lumOff val="2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3.1: WORLDWIDE PATENT FILINGS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1532395235270415E-2"/>
          <c:y val="0.10311418586345028"/>
          <c:w val="0.98356675702806495"/>
          <c:h val="0.72999660537065092"/>
        </c:manualLayout>
      </c:layout>
      <c:barChart>
        <c:barDir val="col"/>
        <c:grouping val="stacked"/>
        <c:varyColors val="0"/>
        <c:ser>
          <c:idx val="0"/>
          <c:order val="0"/>
          <c:tx>
            <c:strRef>
              <c:f>'Ch3. Patent filings'!$B$35</c:f>
              <c:strCache>
                <c:ptCount val="1"/>
                <c:pt idx="0">
                  <c:v>Direct national</c:v>
                </c:pt>
              </c:strCache>
            </c:strRef>
          </c:tx>
          <c:spPr>
            <a:solidFill>
              <a:srgbClr val="00B0F0"/>
            </a:solidFill>
            <a:ln>
              <a:noFill/>
            </a:ln>
            <a:effectLst/>
          </c:spPr>
          <c:invertIfNegative val="0"/>
          <c:dLbls>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filings'!$C$34:$Z$34</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numCache>
            </c:numRef>
          </c:cat>
          <c:val>
            <c:numRef>
              <c:f>'Ch3. Patent filings'!$C$35:$Z$35</c:f>
              <c:numCache>
                <c:formatCode>General</c:formatCode>
                <c:ptCount val="24"/>
                <c:pt idx="0">
                  <c:v>907686</c:v>
                </c:pt>
                <c:pt idx="1">
                  <c:v>905406</c:v>
                </c:pt>
                <c:pt idx="2">
                  <c:v>974456</c:v>
                </c:pt>
                <c:pt idx="3">
                  <c:v>1003732</c:v>
                </c:pt>
                <c:pt idx="4">
                  <c:v>1104657</c:v>
                </c:pt>
                <c:pt idx="5">
                  <c:v>1103560</c:v>
                </c:pt>
                <c:pt idx="6">
                  <c:v>1080582</c:v>
                </c:pt>
                <c:pt idx="7">
                  <c:v>1127238</c:v>
                </c:pt>
                <c:pt idx="8">
                  <c:v>1149981</c:v>
                </c:pt>
                <c:pt idx="9">
                  <c:v>1237028</c:v>
                </c:pt>
                <c:pt idx="10" formatCode="#,##0">
                  <c:v>1282384</c:v>
                </c:pt>
                <c:pt idx="11" formatCode="#,##0">
                  <c:v>1331777</c:v>
                </c:pt>
                <c:pt idx="12" formatCode="#,##0">
                  <c:v>1389232</c:v>
                </c:pt>
                <c:pt idx="13" formatCode="#,##0">
                  <c:v>1555711</c:v>
                </c:pt>
                <c:pt idx="14" formatCode="#,##0">
                  <c:v>1728578</c:v>
                </c:pt>
                <c:pt idx="15" formatCode="#,##0">
                  <c:v>1921441</c:v>
                </c:pt>
                <c:pt idx="16" formatCode="#,##0">
                  <c:v>2008933</c:v>
                </c:pt>
                <c:pt idx="17" formatCode="#,##0">
                  <c:v>2188932</c:v>
                </c:pt>
                <c:pt idx="18" formatCode="#,##0">
                  <c:v>2436257</c:v>
                </c:pt>
                <c:pt idx="19" formatCode="#,##0">
                  <c:v>2456411</c:v>
                </c:pt>
                <c:pt idx="20" formatCode="#,##0">
                  <c:v>2600036</c:v>
                </c:pt>
                <c:pt idx="21" formatCode="#,##0">
                  <c:v>2465543</c:v>
                </c:pt>
                <c:pt idx="22" formatCode="#,##0">
                  <c:v>2538782</c:v>
                </c:pt>
                <c:pt idx="23" formatCode="#,##0">
                  <c:v>2598438</c:v>
                </c:pt>
              </c:numCache>
            </c:numRef>
          </c:val>
          <c:extLst>
            <c:ext xmlns:c16="http://schemas.microsoft.com/office/drawing/2014/chart" uri="{C3380CC4-5D6E-409C-BE32-E72D297353CC}">
              <c16:uniqueId val="{00000000-D5F7-4B11-9E31-A81DC50DE395}"/>
            </c:ext>
          </c:extLst>
        </c:ser>
        <c:ser>
          <c:idx val="1"/>
          <c:order val="1"/>
          <c:tx>
            <c:strRef>
              <c:f>'Ch3. Patent filings'!$B$36</c:f>
              <c:strCache>
                <c:ptCount val="1"/>
                <c:pt idx="0">
                  <c:v>Direct 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filings'!$C$34:$Z$34</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numCache>
            </c:numRef>
          </c:cat>
          <c:val>
            <c:numRef>
              <c:f>'Ch3. Patent filings'!$C$36:$Z$36</c:f>
              <c:numCache>
                <c:formatCode>General</c:formatCode>
                <c:ptCount val="24"/>
                <c:pt idx="0">
                  <c:v>41258</c:v>
                </c:pt>
                <c:pt idx="1">
                  <c:v>45627</c:v>
                </c:pt>
                <c:pt idx="2">
                  <c:v>49385</c:v>
                </c:pt>
                <c:pt idx="3">
                  <c:v>50450</c:v>
                </c:pt>
                <c:pt idx="4">
                  <c:v>54843</c:v>
                </c:pt>
                <c:pt idx="5">
                  <c:v>57098</c:v>
                </c:pt>
                <c:pt idx="6">
                  <c:v>53268</c:v>
                </c:pt>
                <c:pt idx="7">
                  <c:v>56049</c:v>
                </c:pt>
                <c:pt idx="8">
                  <c:v>58784</c:v>
                </c:pt>
                <c:pt idx="9">
                  <c:v>61203</c:v>
                </c:pt>
                <c:pt idx="10" formatCode="#,##0">
                  <c:v>61434</c:v>
                </c:pt>
                <c:pt idx="11" formatCode="#,##0">
                  <c:v>56448</c:v>
                </c:pt>
                <c:pt idx="12" formatCode="#,##0">
                  <c:v>71945</c:v>
                </c:pt>
                <c:pt idx="13" formatCode="#,##0">
                  <c:v>63183</c:v>
                </c:pt>
                <c:pt idx="14" formatCode="#,##0">
                  <c:v>68097</c:v>
                </c:pt>
                <c:pt idx="15" formatCode="#,##0">
                  <c:v>64431</c:v>
                </c:pt>
                <c:pt idx="16" formatCode="#,##0">
                  <c:v>63733</c:v>
                </c:pt>
                <c:pt idx="17" formatCode="#,##0">
                  <c:v>64548</c:v>
                </c:pt>
                <c:pt idx="18" formatCode="#,##0">
                  <c:v>67559</c:v>
                </c:pt>
                <c:pt idx="19" formatCode="#,##0">
                  <c:v>70944</c:v>
                </c:pt>
                <c:pt idx="20" formatCode="#,##0">
                  <c:v>75478</c:v>
                </c:pt>
                <c:pt idx="21" formatCode="#,##0">
                  <c:v>79019</c:v>
                </c:pt>
                <c:pt idx="22" formatCode="#,##0">
                  <c:v>76930</c:v>
                </c:pt>
                <c:pt idx="23" formatCode="#,##0">
                  <c:v>75129</c:v>
                </c:pt>
              </c:numCache>
            </c:numRef>
          </c:val>
          <c:extLst>
            <c:ext xmlns:c16="http://schemas.microsoft.com/office/drawing/2014/chart" uri="{C3380CC4-5D6E-409C-BE32-E72D297353CC}">
              <c16:uniqueId val="{00000001-D5F7-4B11-9E31-A81DC50DE395}"/>
            </c:ext>
          </c:extLst>
        </c:ser>
        <c:ser>
          <c:idx val="2"/>
          <c:order val="2"/>
          <c:tx>
            <c:strRef>
              <c:f>'Ch3. Patent filings'!$B$37</c:f>
              <c:strCache>
                <c:ptCount val="1"/>
                <c:pt idx="0">
                  <c:v>PCT international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filings'!$C$34:$Z$34</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numCache>
            </c:numRef>
          </c:cat>
          <c:val>
            <c:numRef>
              <c:f>'Ch3. Patent filings'!$C$37:$Z$37</c:f>
              <c:numCache>
                <c:formatCode>General</c:formatCode>
                <c:ptCount val="24"/>
                <c:pt idx="0">
                  <c:v>47291</c:v>
                </c:pt>
                <c:pt idx="1">
                  <c:v>54422</c:v>
                </c:pt>
                <c:pt idx="2">
                  <c:v>67007</c:v>
                </c:pt>
                <c:pt idx="3">
                  <c:v>76358</c:v>
                </c:pt>
                <c:pt idx="4">
                  <c:v>93237</c:v>
                </c:pt>
                <c:pt idx="5">
                  <c:v>108230</c:v>
                </c:pt>
                <c:pt idx="6">
                  <c:v>110392</c:v>
                </c:pt>
                <c:pt idx="7">
                  <c:v>115204</c:v>
                </c:pt>
                <c:pt idx="8">
                  <c:v>122633</c:v>
                </c:pt>
                <c:pt idx="9">
                  <c:v>136752</c:v>
                </c:pt>
                <c:pt idx="10" formatCode="#,##0">
                  <c:v>149663</c:v>
                </c:pt>
                <c:pt idx="11" formatCode="#,##0">
                  <c:v>155400</c:v>
                </c:pt>
                <c:pt idx="12" formatCode="#,##0">
                  <c:v>164339</c:v>
                </c:pt>
                <c:pt idx="13" formatCode="#,##0">
                  <c:v>182425</c:v>
                </c:pt>
                <c:pt idx="14" formatCode="#,##0">
                  <c:v>195331</c:v>
                </c:pt>
                <c:pt idx="15" formatCode="#,##0">
                  <c:v>204442</c:v>
                </c:pt>
                <c:pt idx="16" formatCode="#,##0">
                  <c:v>214063</c:v>
                </c:pt>
                <c:pt idx="17" formatCode="#,##0">
                  <c:v>216855</c:v>
                </c:pt>
                <c:pt idx="18" formatCode="#,##0">
                  <c:v>232912</c:v>
                </c:pt>
                <c:pt idx="19" formatCode="#,##0">
                  <c:v>243519</c:v>
                </c:pt>
                <c:pt idx="20" formatCode="#,##0">
                  <c:v>252779</c:v>
                </c:pt>
                <c:pt idx="21" formatCode="#,##0">
                  <c:v>265381</c:v>
                </c:pt>
                <c:pt idx="22" formatCode="#,##0">
                  <c:v>274891</c:v>
                </c:pt>
                <c:pt idx="23" formatCode="#,##0">
                  <c:v>277409</c:v>
                </c:pt>
              </c:numCache>
            </c:numRef>
          </c:val>
          <c:extLst>
            <c:ext xmlns:c16="http://schemas.microsoft.com/office/drawing/2014/chart" uri="{C3380CC4-5D6E-409C-BE32-E72D297353CC}">
              <c16:uniqueId val="{00000002-D5F7-4B11-9E31-A81DC50DE395}"/>
            </c:ext>
          </c:extLst>
        </c:ser>
        <c:ser>
          <c:idx val="3"/>
          <c:order val="3"/>
          <c:spPr>
            <a:no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filings'!$C$34:$Z$34</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numCache>
            </c:numRef>
          </c:cat>
          <c:val>
            <c:numRef>
              <c:f>'Ch3. Patent filings'!$C$39:$Z$39</c:f>
              <c:numCache>
                <c:formatCode>0</c:formatCode>
                <c:ptCount val="24"/>
                <c:pt idx="0">
                  <c:v>996.23500000000001</c:v>
                </c:pt>
                <c:pt idx="1">
                  <c:v>1005.455</c:v>
                </c:pt>
                <c:pt idx="2">
                  <c:v>1090.848</c:v>
                </c:pt>
                <c:pt idx="3">
                  <c:v>1130.54</c:v>
                </c:pt>
                <c:pt idx="4">
                  <c:v>1252.7370000000001</c:v>
                </c:pt>
                <c:pt idx="5">
                  <c:v>1268.8879999999999</c:v>
                </c:pt>
                <c:pt idx="6">
                  <c:v>1244.242</c:v>
                </c:pt>
                <c:pt idx="7">
                  <c:v>1298.491</c:v>
                </c:pt>
                <c:pt idx="8">
                  <c:v>1331.3979999999999</c:v>
                </c:pt>
                <c:pt idx="9">
                  <c:v>1434.9829999999999</c:v>
                </c:pt>
                <c:pt idx="10">
                  <c:v>1493.481</c:v>
                </c:pt>
                <c:pt idx="11">
                  <c:v>1543.625</c:v>
                </c:pt>
                <c:pt idx="12">
                  <c:v>1625.5160000000001</c:v>
                </c:pt>
                <c:pt idx="13">
                  <c:v>1801.319</c:v>
                </c:pt>
                <c:pt idx="14">
                  <c:v>1992.0060000000001</c:v>
                </c:pt>
                <c:pt idx="15">
                  <c:v>2190.3139999999999</c:v>
                </c:pt>
                <c:pt idx="16">
                  <c:v>2286.7289999999998</c:v>
                </c:pt>
                <c:pt idx="17">
                  <c:v>2470.335</c:v>
                </c:pt>
                <c:pt idx="18">
                  <c:v>2736.7280000000001</c:v>
                </c:pt>
                <c:pt idx="19">
                  <c:v>2770.8739999999998</c:v>
                </c:pt>
                <c:pt idx="20">
                  <c:v>2928.2930000000001</c:v>
                </c:pt>
                <c:pt idx="21">
                  <c:v>2809.9430000000002</c:v>
                </c:pt>
                <c:pt idx="22">
                  <c:v>2890.6030000000001</c:v>
                </c:pt>
                <c:pt idx="23" formatCode="General">
                  <c:v>2951</c:v>
                </c:pt>
              </c:numCache>
            </c:numRef>
          </c:val>
          <c:extLst>
            <c:ext xmlns:c16="http://schemas.microsoft.com/office/drawing/2014/chart" uri="{C3380CC4-5D6E-409C-BE32-E72D297353CC}">
              <c16:uniqueId val="{00000003-D5F7-4B11-9E31-A81DC50DE395}"/>
            </c:ext>
          </c:extLst>
        </c:ser>
        <c:dLbls>
          <c:showLegendKey val="0"/>
          <c:showVal val="0"/>
          <c:showCatName val="0"/>
          <c:showSerName val="0"/>
          <c:showPercent val="0"/>
          <c:showBubbleSize val="0"/>
        </c:dLbls>
        <c:gapWidth val="10"/>
        <c:overlap val="100"/>
        <c:axId val="723679240"/>
        <c:axId val="723686128"/>
      </c:barChart>
      <c:catAx>
        <c:axId val="7236792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3686128"/>
        <c:crosses val="autoZero"/>
        <c:auto val="1"/>
        <c:lblAlgn val="ctr"/>
        <c:lblOffset val="100"/>
        <c:noMultiLvlLbl val="0"/>
      </c:catAx>
      <c:valAx>
        <c:axId val="723686128"/>
        <c:scaling>
          <c:orientation val="minMax"/>
          <c:max val="3000000"/>
        </c:scaling>
        <c:delete val="1"/>
        <c:axPos val="l"/>
        <c:numFmt formatCode="General" sourceLinked="1"/>
        <c:majorTickMark val="none"/>
        <c:minorTickMark val="none"/>
        <c:tickLblPos val="nextTo"/>
        <c:crossAx val="723679240"/>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75000"/>
          <a:lumOff val="2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2008</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AC1B-41D4-BD73-BAF72A115D45}"/>
              </c:ext>
            </c:extLst>
          </c:dPt>
          <c:dPt>
            <c:idx val="1"/>
            <c:bubble3D val="0"/>
            <c:spPr>
              <a:solidFill>
                <a:srgbClr val="FF0000"/>
              </a:solidFill>
              <a:ln>
                <a:solidFill>
                  <a:schemeClr val="bg1"/>
                </a:solidFill>
              </a:ln>
            </c:spPr>
            <c:extLst>
              <c:ext xmlns:c16="http://schemas.microsoft.com/office/drawing/2014/chart" uri="{C3380CC4-5D6E-409C-BE32-E72D297353CC}">
                <c16:uniqueId val="{00000003-AC1B-41D4-BD73-BAF72A115D45}"/>
              </c:ext>
            </c:extLst>
          </c:dPt>
          <c:dPt>
            <c:idx val="2"/>
            <c:bubble3D val="0"/>
            <c:spPr>
              <a:solidFill>
                <a:srgbClr val="7030A0"/>
              </a:solidFill>
              <a:ln>
                <a:solidFill>
                  <a:schemeClr val="bg1"/>
                </a:solidFill>
              </a:ln>
            </c:spPr>
            <c:extLst>
              <c:ext xmlns:c16="http://schemas.microsoft.com/office/drawing/2014/chart" uri="{C3380CC4-5D6E-409C-BE32-E72D297353CC}">
                <c16:uniqueId val="{00000005-AC1B-41D4-BD73-BAF72A115D45}"/>
              </c:ext>
            </c:extLst>
          </c:dPt>
          <c:dPt>
            <c:idx val="4"/>
            <c:bubble3D val="0"/>
            <c:spPr>
              <a:solidFill>
                <a:srgbClr val="008000"/>
              </a:solidFill>
              <a:ln>
                <a:solidFill>
                  <a:schemeClr val="bg1"/>
                </a:solidFill>
              </a:ln>
            </c:spPr>
            <c:extLst>
              <c:ext xmlns:c16="http://schemas.microsoft.com/office/drawing/2014/chart" uri="{C3380CC4-5D6E-409C-BE32-E72D297353CC}">
                <c16:uniqueId val="{00000007-AC1B-41D4-BD73-BAF72A115D45}"/>
              </c:ext>
            </c:extLst>
          </c:dPt>
          <c:dPt>
            <c:idx val="5"/>
            <c:bubble3D val="0"/>
            <c:spPr>
              <a:solidFill>
                <a:schemeClr val="accent2"/>
              </a:solidFill>
              <a:ln>
                <a:solidFill>
                  <a:schemeClr val="bg1"/>
                </a:solidFill>
              </a:ln>
            </c:spPr>
            <c:extLst>
              <c:ext xmlns:c16="http://schemas.microsoft.com/office/drawing/2014/chart" uri="{C3380CC4-5D6E-409C-BE32-E72D297353CC}">
                <c16:uniqueId val="{00000009-AC1B-41D4-BD73-BAF72A115D45}"/>
              </c:ext>
            </c:extLst>
          </c:dPt>
          <c:dLbls>
            <c:dLbl>
              <c:idx val="0"/>
              <c:spPr>
                <a:noFill/>
                <a:ln>
                  <a:noFill/>
                </a:ln>
                <a:effectLst/>
              </c:spPr>
              <c:txPr>
                <a:bodyPr wrap="square" lIns="38100" tIns="19050" rIns="38100" bIns="19050" anchor="ctr">
                  <a:noAutofit/>
                </a:bodyPr>
                <a:lstStyle/>
                <a:p>
                  <a:pPr>
                    <a:defRPr sz="1100" b="1">
                      <a:solidFill>
                        <a:schemeClr val="bg1"/>
                      </a:solidFill>
                    </a:defRPr>
                  </a:pPr>
                  <a:endParaRPr lang="en-US"/>
                </a:p>
              </c:txPr>
              <c:dLblPos val="inEnd"/>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AC1B-41D4-BD73-BAF72A115D45}"/>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Patents-in-Force'!$B$8:$B$13</c:f>
              <c:numCache>
                <c:formatCode>#,##0</c:formatCode>
                <c:ptCount val="6"/>
                <c:pt idx="0">
                  <c:v>2365000</c:v>
                </c:pt>
                <c:pt idx="1">
                  <c:v>1270000</c:v>
                </c:pt>
                <c:pt idx="2">
                  <c:v>624000</c:v>
                </c:pt>
                <c:pt idx="4">
                  <c:v>1873000</c:v>
                </c:pt>
                <c:pt idx="5">
                  <c:v>630000</c:v>
                </c:pt>
              </c:numCache>
            </c:numRef>
          </c:val>
          <c:extLst>
            <c:ext xmlns:c16="http://schemas.microsoft.com/office/drawing/2014/chart" uri="{C3380CC4-5D6E-409C-BE32-E72D297353CC}">
              <c16:uniqueId val="{0000000A-AC1B-41D4-BD73-BAF72A115D45}"/>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C-AC1B-41D4-BD73-BAF72A115D4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E-AC1B-41D4-BD73-BAF72A115D4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0-AC1B-41D4-BD73-BAF72A115D4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2-AC1B-41D4-BD73-BAF72A115D4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4-AC1B-41D4-BD73-BAF72A115D4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6-AC1B-41D4-BD73-BAF72A115D45}"/>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7-AC1B-41D4-BD73-BAF72A115D45}"/>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3.1: WORLDWIDE PATENT FILINGS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42E-2"/>
          <c:y val="0.11239396621187454"/>
          <c:w val="0.81502412040831174"/>
          <c:h val="0.77526241356774361"/>
        </c:manualLayout>
      </c:layout>
      <c:barChart>
        <c:barDir val="col"/>
        <c:grouping val="stacked"/>
        <c:varyColors val="0"/>
        <c:ser>
          <c:idx val="0"/>
          <c:order val="0"/>
          <c:tx>
            <c:strRef>
              <c:f>'Ch3. Patent filings'!$B$35</c:f>
              <c:strCache>
                <c:ptCount val="1"/>
                <c:pt idx="0">
                  <c:v>Direct 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filings'!$P$34:$Z$34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filings'!$P$35:$Z$35</c:f>
              <c:numCache>
                <c:formatCode>#,##0</c:formatCode>
                <c:ptCount val="11"/>
                <c:pt idx="0">
                  <c:v>1555711</c:v>
                </c:pt>
                <c:pt idx="1">
                  <c:v>1728578</c:v>
                </c:pt>
                <c:pt idx="2">
                  <c:v>1921441</c:v>
                </c:pt>
                <c:pt idx="3">
                  <c:v>2008933</c:v>
                </c:pt>
                <c:pt idx="4">
                  <c:v>2188932</c:v>
                </c:pt>
                <c:pt idx="5">
                  <c:v>2436257</c:v>
                </c:pt>
                <c:pt idx="6">
                  <c:v>2456411</c:v>
                </c:pt>
                <c:pt idx="7">
                  <c:v>2600036</c:v>
                </c:pt>
                <c:pt idx="8">
                  <c:v>2465543</c:v>
                </c:pt>
                <c:pt idx="9">
                  <c:v>2538782</c:v>
                </c:pt>
                <c:pt idx="10">
                  <c:v>2598438</c:v>
                </c:pt>
              </c:numCache>
            </c:numRef>
          </c:val>
          <c:extLst>
            <c:ext xmlns:c16="http://schemas.microsoft.com/office/drawing/2014/chart" uri="{C3380CC4-5D6E-409C-BE32-E72D297353CC}">
              <c16:uniqueId val="{00000000-8AA0-4B62-BA63-F98BF539525C}"/>
            </c:ext>
          </c:extLst>
        </c:ser>
        <c:ser>
          <c:idx val="1"/>
          <c:order val="1"/>
          <c:tx>
            <c:strRef>
              <c:f>'Ch3. Patent filings'!$B$36</c:f>
              <c:strCache>
                <c:ptCount val="1"/>
                <c:pt idx="0">
                  <c:v>Direct 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filings'!$P$34:$Z$34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filings'!$P$36:$Z$36</c:f>
              <c:numCache>
                <c:formatCode>#,##0</c:formatCode>
                <c:ptCount val="11"/>
                <c:pt idx="0">
                  <c:v>63183</c:v>
                </c:pt>
                <c:pt idx="1">
                  <c:v>68097</c:v>
                </c:pt>
                <c:pt idx="2">
                  <c:v>64431</c:v>
                </c:pt>
                <c:pt idx="3">
                  <c:v>63733</c:v>
                </c:pt>
                <c:pt idx="4">
                  <c:v>64548</c:v>
                </c:pt>
                <c:pt idx="5">
                  <c:v>67559</c:v>
                </c:pt>
                <c:pt idx="6">
                  <c:v>70944</c:v>
                </c:pt>
                <c:pt idx="7">
                  <c:v>75478</c:v>
                </c:pt>
                <c:pt idx="8">
                  <c:v>79019</c:v>
                </c:pt>
                <c:pt idx="9">
                  <c:v>76930</c:v>
                </c:pt>
                <c:pt idx="10">
                  <c:v>75129</c:v>
                </c:pt>
              </c:numCache>
            </c:numRef>
          </c:val>
          <c:extLst>
            <c:ext xmlns:c16="http://schemas.microsoft.com/office/drawing/2014/chart" uri="{C3380CC4-5D6E-409C-BE32-E72D297353CC}">
              <c16:uniqueId val="{00000001-8AA0-4B62-BA63-F98BF539525C}"/>
            </c:ext>
          </c:extLst>
        </c:ser>
        <c:ser>
          <c:idx val="2"/>
          <c:order val="2"/>
          <c:tx>
            <c:strRef>
              <c:f>'Ch3. Patent filings'!$B$37</c:f>
              <c:strCache>
                <c:ptCount val="1"/>
                <c:pt idx="0">
                  <c:v>PCT international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filings'!$P$34:$Z$34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filings'!$P$37:$Z$37</c:f>
              <c:numCache>
                <c:formatCode>#,##0</c:formatCode>
                <c:ptCount val="11"/>
                <c:pt idx="0">
                  <c:v>182425</c:v>
                </c:pt>
                <c:pt idx="1">
                  <c:v>195331</c:v>
                </c:pt>
                <c:pt idx="2">
                  <c:v>204442</c:v>
                </c:pt>
                <c:pt idx="3">
                  <c:v>214063</c:v>
                </c:pt>
                <c:pt idx="4">
                  <c:v>216855</c:v>
                </c:pt>
                <c:pt idx="5">
                  <c:v>232912</c:v>
                </c:pt>
                <c:pt idx="6">
                  <c:v>243519</c:v>
                </c:pt>
                <c:pt idx="7">
                  <c:v>252779</c:v>
                </c:pt>
                <c:pt idx="8">
                  <c:v>265381</c:v>
                </c:pt>
                <c:pt idx="9">
                  <c:v>274891</c:v>
                </c:pt>
                <c:pt idx="10">
                  <c:v>277409</c:v>
                </c:pt>
              </c:numCache>
            </c:numRef>
          </c:val>
          <c:extLst>
            <c:ext xmlns:c16="http://schemas.microsoft.com/office/drawing/2014/chart" uri="{C3380CC4-5D6E-409C-BE32-E72D297353CC}">
              <c16:uniqueId val="{00000002-8AA0-4B62-BA63-F98BF539525C}"/>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filings'!$P$34:$Z$34</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filings'!$P$38:$Z$38</c:f>
              <c:numCache>
                <c:formatCode>#,##0</c:formatCode>
                <c:ptCount val="11"/>
                <c:pt idx="0">
                  <c:v>1801319</c:v>
                </c:pt>
                <c:pt idx="1">
                  <c:v>1992006</c:v>
                </c:pt>
                <c:pt idx="2">
                  <c:v>2190314</c:v>
                </c:pt>
                <c:pt idx="3">
                  <c:v>2286729</c:v>
                </c:pt>
                <c:pt idx="4">
                  <c:v>2470335</c:v>
                </c:pt>
                <c:pt idx="5">
                  <c:v>2736728</c:v>
                </c:pt>
                <c:pt idx="6">
                  <c:v>2770874</c:v>
                </c:pt>
                <c:pt idx="7">
                  <c:v>2928293</c:v>
                </c:pt>
                <c:pt idx="8">
                  <c:v>2809943</c:v>
                </c:pt>
                <c:pt idx="9">
                  <c:v>2890603</c:v>
                </c:pt>
                <c:pt idx="10">
                  <c:v>2950976</c:v>
                </c:pt>
              </c:numCache>
            </c:numRef>
          </c:val>
          <c:extLst>
            <c:ext xmlns:c16="http://schemas.microsoft.com/office/drawing/2014/chart" uri="{C3380CC4-5D6E-409C-BE32-E72D297353CC}">
              <c16:uniqueId val="{00000003-8AA0-4B62-BA63-F98BF539525C}"/>
            </c:ext>
          </c:extLst>
        </c:ser>
        <c:dLbls>
          <c:showLegendKey val="0"/>
          <c:showVal val="0"/>
          <c:showCatName val="0"/>
          <c:showSerName val="0"/>
          <c:showPercent val="0"/>
          <c:showBubbleSize val="0"/>
        </c:dLbls>
        <c:gapWidth val="10"/>
        <c:overlap val="100"/>
        <c:axId val="723679240"/>
        <c:axId val="723686128"/>
      </c:barChart>
      <c:catAx>
        <c:axId val="7236792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3686128"/>
        <c:crosses val="autoZero"/>
        <c:auto val="1"/>
        <c:lblAlgn val="ctr"/>
        <c:lblOffset val="100"/>
        <c:noMultiLvlLbl val="0"/>
      </c:catAx>
      <c:valAx>
        <c:axId val="723686128"/>
        <c:scaling>
          <c:orientation val="minMax"/>
          <c:max val="3000000"/>
        </c:scaling>
        <c:delete val="1"/>
        <c:axPos val="l"/>
        <c:numFmt formatCode="#,##0" sourceLinked="1"/>
        <c:majorTickMark val="none"/>
        <c:minorTickMark val="none"/>
        <c:tickLblPos val="nextTo"/>
        <c:crossAx val="723679240"/>
        <c:crosses val="autoZero"/>
        <c:crossBetween val="between"/>
      </c:valAx>
      <c:spPr>
        <a:noFill/>
        <a:ln>
          <a:noFill/>
        </a:ln>
        <a:effectLst/>
      </c:spPr>
    </c:plotArea>
    <c:legend>
      <c:legendPos val="r"/>
      <c:legendEntry>
        <c:idx val="0"/>
        <c:delete val="1"/>
      </c:legendEntry>
      <c:layout>
        <c:manualLayout>
          <c:xMode val="edge"/>
          <c:yMode val="edge"/>
          <c:x val="0.83352516675884059"/>
          <c:y val="0.25239280658382407"/>
          <c:w val="0.15506663317067418"/>
          <c:h val="0.4106383704696660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75000"/>
          <a:lumOff val="2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3.2: WORLDWIDE PATENT FILINGS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42E-2"/>
          <c:y val="0.11239396621187454"/>
          <c:w val="0.83213642051403969"/>
          <c:h val="0.7207169460073839"/>
        </c:manualLayout>
      </c:layout>
      <c:barChart>
        <c:barDir val="col"/>
        <c:grouping val="stacked"/>
        <c:varyColors val="0"/>
        <c:ser>
          <c:idx val="5"/>
          <c:order val="0"/>
          <c:tx>
            <c:strRef>
              <c:f>'Ch3. Patent filings'!$B$48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filings'!$P$48:$Z$48</c:f>
              <c:numCache>
                <c:formatCode>#,##0</c:formatCode>
                <c:ptCount val="11"/>
                <c:pt idx="0">
                  <c:v>138785</c:v>
                </c:pt>
                <c:pt idx="1">
                  <c:v>153643</c:v>
                </c:pt>
                <c:pt idx="2">
                  <c:v>163198</c:v>
                </c:pt>
                <c:pt idx="3">
                  <c:v>159431</c:v>
                </c:pt>
                <c:pt idx="4">
                  <c:v>175350</c:v>
                </c:pt>
                <c:pt idx="5">
                  <c:v>170914</c:v>
                </c:pt>
                <c:pt idx="6">
                  <c:v>169052</c:v>
                </c:pt>
                <c:pt idx="7">
                  <c:v>176393</c:v>
                </c:pt>
                <c:pt idx="8">
                  <c:v>192883</c:v>
                </c:pt>
                <c:pt idx="9">
                  <c:v>199936</c:v>
                </c:pt>
                <c:pt idx="10">
                  <c:v>185481</c:v>
                </c:pt>
              </c:numCache>
            </c:numRef>
          </c:val>
          <c:extLst>
            <c:ext xmlns:c16="http://schemas.microsoft.com/office/drawing/2014/chart" uri="{C3380CC4-5D6E-409C-BE32-E72D297353CC}">
              <c16:uniqueId val="{00000000-AAE5-49B9-B7E0-0234FF26930B}"/>
            </c:ext>
          </c:extLst>
        </c:ser>
        <c:ser>
          <c:idx val="4"/>
          <c:order val="1"/>
          <c:tx>
            <c:strRef>
              <c:f>'Ch3. Patent filings'!$B$47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filings'!$P$47:$Z$47</c:f>
              <c:numCache>
                <c:formatCode>#,##0</c:formatCode>
                <c:ptCount val="11"/>
                <c:pt idx="0">
                  <c:v>339488</c:v>
                </c:pt>
                <c:pt idx="1">
                  <c:v>367418</c:v>
                </c:pt>
                <c:pt idx="2">
                  <c:v>387191</c:v>
                </c:pt>
                <c:pt idx="3">
                  <c:v>387287</c:v>
                </c:pt>
                <c:pt idx="4">
                  <c:v>383348</c:v>
                </c:pt>
                <c:pt idx="5">
                  <c:v>394345</c:v>
                </c:pt>
                <c:pt idx="6">
                  <c:v>386773</c:v>
                </c:pt>
                <c:pt idx="7">
                  <c:v>377569</c:v>
                </c:pt>
                <c:pt idx="8">
                  <c:v>378445</c:v>
                </c:pt>
                <c:pt idx="9">
                  <c:v>358841</c:v>
                </c:pt>
                <c:pt idx="10">
                  <c:v>355827</c:v>
                </c:pt>
              </c:numCache>
            </c:numRef>
          </c:val>
          <c:extLst>
            <c:ext xmlns:c16="http://schemas.microsoft.com/office/drawing/2014/chart" uri="{C3380CC4-5D6E-409C-BE32-E72D297353CC}">
              <c16:uniqueId val="{00000001-AAE5-49B9-B7E0-0234FF26930B}"/>
            </c:ext>
          </c:extLst>
        </c:ser>
        <c:ser>
          <c:idx val="3"/>
          <c:order val="2"/>
          <c:tx>
            <c:strRef>
              <c:f>'Ch3. Patent filings'!$B$46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filings'!$P$46:$Z$46</c:f>
              <c:numCache>
                <c:formatCode>#,##0</c:formatCode>
                <c:ptCount val="11"/>
                <c:pt idx="0">
                  <c:v>439293</c:v>
                </c:pt>
                <c:pt idx="1">
                  <c:v>562667</c:v>
                </c:pt>
                <c:pt idx="2">
                  <c:v>736644</c:v>
                </c:pt>
                <c:pt idx="3">
                  <c:v>839122</c:v>
                </c:pt>
                <c:pt idx="4">
                  <c:v>1011854</c:v>
                </c:pt>
                <c:pt idx="5">
                  <c:v>1265436</c:v>
                </c:pt>
                <c:pt idx="6">
                  <c:v>1318556</c:v>
                </c:pt>
                <c:pt idx="7">
                  <c:v>1476665</c:v>
                </c:pt>
                <c:pt idx="8">
                  <c:v>1336626</c:v>
                </c:pt>
                <c:pt idx="9">
                  <c:v>1456987</c:v>
                </c:pt>
                <c:pt idx="10">
                  <c:v>1545527</c:v>
                </c:pt>
              </c:numCache>
            </c:numRef>
          </c:val>
          <c:extLst>
            <c:ext xmlns:c16="http://schemas.microsoft.com/office/drawing/2014/chart" uri="{C3380CC4-5D6E-409C-BE32-E72D297353CC}">
              <c16:uniqueId val="{00000002-AAE5-49B9-B7E0-0234FF26930B}"/>
            </c:ext>
          </c:extLst>
        </c:ser>
        <c:ser>
          <c:idx val="2"/>
          <c:order val="3"/>
          <c:tx>
            <c:strRef>
              <c:f>'Ch3. Patent filings'!$B$45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filings'!$P$45:$Z$45</c:f>
              <c:numCache>
                <c:formatCode>#,##0</c:formatCode>
                <c:ptCount val="11"/>
                <c:pt idx="0">
                  <c:v>183888</c:v>
                </c:pt>
                <c:pt idx="1">
                  <c:v>198192</c:v>
                </c:pt>
                <c:pt idx="2">
                  <c:v>216608</c:v>
                </c:pt>
                <c:pt idx="3">
                  <c:v>222431</c:v>
                </c:pt>
                <c:pt idx="4">
                  <c:v>229374</c:v>
                </c:pt>
                <c:pt idx="5">
                  <c:v>223928</c:v>
                </c:pt>
                <c:pt idx="6">
                  <c:v>216097</c:v>
                </c:pt>
                <c:pt idx="7">
                  <c:v>219897</c:v>
                </c:pt>
                <c:pt idx="8">
                  <c:v>234021</c:v>
                </c:pt>
                <c:pt idx="9">
                  <c:v>246016</c:v>
                </c:pt>
                <c:pt idx="10">
                  <c:v>252614</c:v>
                </c:pt>
              </c:numCache>
            </c:numRef>
          </c:val>
          <c:extLst>
            <c:ext xmlns:c16="http://schemas.microsoft.com/office/drawing/2014/chart" uri="{C3380CC4-5D6E-409C-BE32-E72D297353CC}">
              <c16:uniqueId val="{00000003-AAE5-49B9-B7E0-0234FF26930B}"/>
            </c:ext>
          </c:extLst>
        </c:ser>
        <c:ser>
          <c:idx val="1"/>
          <c:order val="4"/>
          <c:tx>
            <c:strRef>
              <c:f>'Ch3. Patent filings'!$B$44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filings'!$P$44:$Z$44</c:f>
              <c:numCache>
                <c:formatCode>#,##0</c:formatCode>
                <c:ptCount val="11"/>
                <c:pt idx="0">
                  <c:v>416454</c:v>
                </c:pt>
                <c:pt idx="1">
                  <c:v>418021</c:v>
                </c:pt>
                <c:pt idx="2">
                  <c:v>393687</c:v>
                </c:pt>
                <c:pt idx="3">
                  <c:v>382867</c:v>
                </c:pt>
                <c:pt idx="4">
                  <c:v>378920</c:v>
                </c:pt>
                <c:pt idx="5">
                  <c:v>379093</c:v>
                </c:pt>
                <c:pt idx="6">
                  <c:v>378418</c:v>
                </c:pt>
                <c:pt idx="7">
                  <c:v>376113</c:v>
                </c:pt>
                <c:pt idx="8">
                  <c:v>367240</c:v>
                </c:pt>
                <c:pt idx="9">
                  <c:v>338309</c:v>
                </c:pt>
                <c:pt idx="10">
                  <c:v>325674</c:v>
                </c:pt>
              </c:numCache>
            </c:numRef>
          </c:val>
          <c:extLst>
            <c:ext xmlns:c16="http://schemas.microsoft.com/office/drawing/2014/chart" uri="{C3380CC4-5D6E-409C-BE32-E72D297353CC}">
              <c16:uniqueId val="{00000004-AAE5-49B9-B7E0-0234FF26930B}"/>
            </c:ext>
          </c:extLst>
        </c:ser>
        <c:ser>
          <c:idx val="0"/>
          <c:order val="5"/>
          <c:tx>
            <c:strRef>
              <c:f>'Ch3. Patent filings'!$B$43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filings'!$P$43:$Z$43</c:f>
              <c:numCache>
                <c:formatCode>#,##0</c:formatCode>
                <c:ptCount val="11"/>
                <c:pt idx="0">
                  <c:v>283411</c:v>
                </c:pt>
                <c:pt idx="1">
                  <c:v>292065</c:v>
                </c:pt>
                <c:pt idx="2">
                  <c:v>292986</c:v>
                </c:pt>
                <c:pt idx="3">
                  <c:v>295591</c:v>
                </c:pt>
                <c:pt idx="4">
                  <c:v>291489</c:v>
                </c:pt>
                <c:pt idx="5">
                  <c:v>303012</c:v>
                </c:pt>
                <c:pt idx="6">
                  <c:v>301978</c:v>
                </c:pt>
                <c:pt idx="7">
                  <c:v>301656</c:v>
                </c:pt>
                <c:pt idx="8">
                  <c:v>300728</c:v>
                </c:pt>
                <c:pt idx="9">
                  <c:v>290514</c:v>
                </c:pt>
                <c:pt idx="10">
                  <c:v>285853</c:v>
                </c:pt>
              </c:numCache>
            </c:numRef>
          </c:val>
          <c:extLst>
            <c:ext xmlns:c16="http://schemas.microsoft.com/office/drawing/2014/chart" uri="{C3380CC4-5D6E-409C-BE32-E72D297353CC}">
              <c16:uniqueId val="{00000005-AAE5-49B9-B7E0-0234FF26930B}"/>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filings'!$P$42:$Z$42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filings'!$P$49:$Z$49</c:f>
              <c:numCache>
                <c:formatCode>#,##0</c:formatCode>
                <c:ptCount val="11"/>
                <c:pt idx="0">
                  <c:v>1801319</c:v>
                </c:pt>
                <c:pt idx="1">
                  <c:v>1992006</c:v>
                </c:pt>
                <c:pt idx="2">
                  <c:v>2190314</c:v>
                </c:pt>
                <c:pt idx="3">
                  <c:v>2286729</c:v>
                </c:pt>
                <c:pt idx="4">
                  <c:v>2470335</c:v>
                </c:pt>
                <c:pt idx="5">
                  <c:v>2736728</c:v>
                </c:pt>
                <c:pt idx="6">
                  <c:v>2770874</c:v>
                </c:pt>
                <c:pt idx="7">
                  <c:v>2928293</c:v>
                </c:pt>
                <c:pt idx="8">
                  <c:v>2809943</c:v>
                </c:pt>
                <c:pt idx="9">
                  <c:v>2890603</c:v>
                </c:pt>
                <c:pt idx="10">
                  <c:v>2950976</c:v>
                </c:pt>
              </c:numCache>
            </c:numRef>
          </c:val>
          <c:extLst>
            <c:ext xmlns:c16="http://schemas.microsoft.com/office/drawing/2014/chart" uri="{C3380CC4-5D6E-409C-BE32-E72D297353CC}">
              <c16:uniqueId val="{00000006-AAE5-49B9-B7E0-0234FF26930B}"/>
            </c:ext>
          </c:extLst>
        </c:ser>
        <c:dLbls>
          <c:showLegendKey val="0"/>
          <c:showVal val="0"/>
          <c:showCatName val="0"/>
          <c:showSerName val="0"/>
          <c:showPercent val="0"/>
          <c:showBubbleSize val="0"/>
        </c:dLbls>
        <c:gapWidth val="10"/>
        <c:overlap val="100"/>
        <c:axId val="723679240"/>
        <c:axId val="723686128"/>
      </c:barChart>
      <c:catAx>
        <c:axId val="7236792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3686128"/>
        <c:crosses val="autoZero"/>
        <c:auto val="1"/>
        <c:lblAlgn val="ctr"/>
        <c:lblOffset val="100"/>
        <c:noMultiLvlLbl val="0"/>
      </c:catAx>
      <c:valAx>
        <c:axId val="723686128"/>
        <c:scaling>
          <c:orientation val="minMax"/>
          <c:max val="3000000"/>
        </c:scaling>
        <c:delete val="1"/>
        <c:axPos val="l"/>
        <c:numFmt formatCode="#,##0" sourceLinked="1"/>
        <c:majorTickMark val="none"/>
        <c:minorTickMark val="none"/>
        <c:tickLblPos val="nextTo"/>
        <c:crossAx val="723679240"/>
        <c:crosses val="autoZero"/>
        <c:crossBetween val="between"/>
      </c:valAx>
      <c:spPr>
        <a:noFill/>
        <a:ln w="25400">
          <a:noFill/>
        </a:ln>
        <a:effectLst/>
      </c:spPr>
    </c:plotArea>
    <c:legend>
      <c:legendPos val="r"/>
      <c:legendEntry>
        <c:idx val="0"/>
        <c:delete val="1"/>
      </c:legendEntry>
      <c:legendEntry>
        <c:idx val="4"/>
        <c:delete val="1"/>
      </c:legendEntry>
      <c:layout>
        <c:manualLayout>
          <c:xMode val="edge"/>
          <c:yMode val="edge"/>
          <c:x val="0.86213160272036171"/>
          <c:y val="0.22359418363020364"/>
          <c:w val="0.13026293056598146"/>
          <c:h val="0.5167204764305598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75000"/>
          <a:lumOff val="2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Fig.3.4 WORLDWIDE PATENT FILINGS - FIRST FILINGS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503502642606702E-2"/>
          <c:y val="0.10302777777777777"/>
          <c:w val="0.97099299471478684"/>
          <c:h val="0.74344356955380575"/>
        </c:manualLayout>
      </c:layout>
      <c:barChart>
        <c:barDir val="col"/>
        <c:grouping val="stacked"/>
        <c:varyColors val="0"/>
        <c:ser>
          <c:idx val="5"/>
          <c:order val="0"/>
          <c:tx>
            <c:strRef>
              <c:f>'Ch3. First filings'!$A$11</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filings'!$B$11:$S$11</c:f>
              <c:numCache>
                <c:formatCode>#,##0</c:formatCode>
                <c:ptCount val="18"/>
                <c:pt idx="0">
                  <c:v>53106</c:v>
                </c:pt>
                <c:pt idx="1">
                  <c:v>50285</c:v>
                </c:pt>
                <c:pt idx="2">
                  <c:v>67018</c:v>
                </c:pt>
                <c:pt idx="3">
                  <c:v>54347</c:v>
                </c:pt>
                <c:pt idx="4">
                  <c:v>108544</c:v>
                </c:pt>
                <c:pt idx="5">
                  <c:v>90607</c:v>
                </c:pt>
                <c:pt idx="6">
                  <c:v>75585</c:v>
                </c:pt>
                <c:pt idx="7">
                  <c:v>71808</c:v>
                </c:pt>
                <c:pt idx="8">
                  <c:v>80343</c:v>
                </c:pt>
                <c:pt idx="9">
                  <c:v>88645</c:v>
                </c:pt>
                <c:pt idx="10">
                  <c:v>84315</c:v>
                </c:pt>
                <c:pt idx="11">
                  <c:v>88691</c:v>
                </c:pt>
                <c:pt idx="12">
                  <c:v>91795</c:v>
                </c:pt>
                <c:pt idx="13">
                  <c:v>89036</c:v>
                </c:pt>
                <c:pt idx="14">
                  <c:v>90428</c:v>
                </c:pt>
                <c:pt idx="15">
                  <c:v>90090</c:v>
                </c:pt>
                <c:pt idx="16">
                  <c:v>94995</c:v>
                </c:pt>
                <c:pt idx="17">
                  <c:v>83900</c:v>
                </c:pt>
              </c:numCache>
            </c:numRef>
          </c:val>
          <c:extLst>
            <c:ext xmlns:c16="http://schemas.microsoft.com/office/drawing/2014/chart" uri="{C3380CC4-5D6E-409C-BE32-E72D297353CC}">
              <c16:uniqueId val="{00000005-6956-42F9-A255-65488E09B780}"/>
            </c:ext>
          </c:extLst>
        </c:ser>
        <c:ser>
          <c:idx val="4"/>
          <c:order val="1"/>
          <c:tx>
            <c:strRef>
              <c:f>'Ch3. First filings'!$A$10</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filings'!$B$10:$S$10</c:f>
              <c:numCache>
                <c:formatCode>#,##0</c:formatCode>
                <c:ptCount val="18"/>
                <c:pt idx="0">
                  <c:v>185008</c:v>
                </c:pt>
                <c:pt idx="1">
                  <c:v>202776</c:v>
                </c:pt>
                <c:pt idx="2">
                  <c:v>215904</c:v>
                </c:pt>
                <c:pt idx="3">
                  <c:v>234043</c:v>
                </c:pt>
                <c:pt idx="4">
                  <c:v>223045</c:v>
                </c:pt>
                <c:pt idx="5">
                  <c:v>213093</c:v>
                </c:pt>
                <c:pt idx="6">
                  <c:v>227907</c:v>
                </c:pt>
                <c:pt idx="7">
                  <c:v>231630</c:v>
                </c:pt>
                <c:pt idx="8">
                  <c:v>250617</c:v>
                </c:pt>
                <c:pt idx="9">
                  <c:v>264923</c:v>
                </c:pt>
                <c:pt idx="10">
                  <c:v>260984</c:v>
                </c:pt>
                <c:pt idx="11">
                  <c:v>260274</c:v>
                </c:pt>
                <c:pt idx="12">
                  <c:v>264685</c:v>
                </c:pt>
                <c:pt idx="13">
                  <c:v>260824</c:v>
                </c:pt>
                <c:pt idx="14">
                  <c:v>250372</c:v>
                </c:pt>
                <c:pt idx="15">
                  <c:v>248498</c:v>
                </c:pt>
                <c:pt idx="16">
                  <c:v>232914</c:v>
                </c:pt>
                <c:pt idx="17">
                  <c:v>224805</c:v>
                </c:pt>
              </c:numCache>
            </c:numRef>
          </c:val>
          <c:extLst>
            <c:ext xmlns:c16="http://schemas.microsoft.com/office/drawing/2014/chart" uri="{C3380CC4-5D6E-409C-BE32-E72D297353CC}">
              <c16:uniqueId val="{00000004-6956-42F9-A255-65488E09B780}"/>
            </c:ext>
          </c:extLst>
        </c:ser>
        <c:ser>
          <c:idx val="3"/>
          <c:order val="2"/>
          <c:tx>
            <c:strRef>
              <c:f>'Ch3. First filings'!$A$9</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filings'!$B$9:$S$9</c:f>
              <c:numCache>
                <c:formatCode>#,##0</c:formatCode>
                <c:ptCount val="18"/>
                <c:pt idx="0">
                  <c:v>65586</c:v>
                </c:pt>
                <c:pt idx="1">
                  <c:v>93172</c:v>
                </c:pt>
                <c:pt idx="2">
                  <c:v>121968</c:v>
                </c:pt>
                <c:pt idx="3">
                  <c:v>152299</c:v>
                </c:pt>
                <c:pt idx="4">
                  <c:v>194005</c:v>
                </c:pt>
                <c:pt idx="5">
                  <c:v>228456</c:v>
                </c:pt>
                <c:pt idx="6">
                  <c:v>291960</c:v>
                </c:pt>
                <c:pt idx="7">
                  <c:v>413540</c:v>
                </c:pt>
                <c:pt idx="8">
                  <c:v>533245</c:v>
                </c:pt>
                <c:pt idx="9">
                  <c:v>702013</c:v>
                </c:pt>
                <c:pt idx="10">
                  <c:v>798074</c:v>
                </c:pt>
                <c:pt idx="11">
                  <c:v>965137</c:v>
                </c:pt>
                <c:pt idx="12">
                  <c:v>1200383</c:v>
                </c:pt>
                <c:pt idx="13">
                  <c:v>1245128</c:v>
                </c:pt>
                <c:pt idx="14">
                  <c:v>1393195</c:v>
                </c:pt>
                <c:pt idx="15">
                  <c:v>1242826</c:v>
                </c:pt>
                <c:pt idx="16">
                  <c:v>1344166</c:v>
                </c:pt>
                <c:pt idx="17">
                  <c:v>1425749</c:v>
                </c:pt>
              </c:numCache>
            </c:numRef>
          </c:val>
          <c:extLst>
            <c:ext xmlns:c16="http://schemas.microsoft.com/office/drawing/2014/chart" uri="{C3380CC4-5D6E-409C-BE32-E72D297353CC}">
              <c16:uniqueId val="{00000003-6956-42F9-A255-65488E09B780}"/>
            </c:ext>
          </c:extLst>
        </c:ser>
        <c:ser>
          <c:idx val="2"/>
          <c:order val="3"/>
          <c:tx>
            <c:strRef>
              <c:f>'Ch3. First filings'!$A$8</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filings'!$B$8:$S$8</c:f>
              <c:numCache>
                <c:formatCode>#,##0</c:formatCode>
                <c:ptCount val="18"/>
                <c:pt idx="0">
                  <c:v>105027</c:v>
                </c:pt>
                <c:pt idx="1">
                  <c:v>121942</c:v>
                </c:pt>
                <c:pt idx="2">
                  <c:v>125249</c:v>
                </c:pt>
                <c:pt idx="3">
                  <c:v>128438</c:v>
                </c:pt>
                <c:pt idx="4">
                  <c:v>126691</c:v>
                </c:pt>
                <c:pt idx="5">
                  <c:v>126988</c:v>
                </c:pt>
                <c:pt idx="6">
                  <c:v>131461</c:v>
                </c:pt>
                <c:pt idx="7">
                  <c:v>137671</c:v>
                </c:pt>
                <c:pt idx="8">
                  <c:v>147694</c:v>
                </c:pt>
                <c:pt idx="9">
                  <c:v>159248</c:v>
                </c:pt>
                <c:pt idx="10">
                  <c:v>163185</c:v>
                </c:pt>
                <c:pt idx="11">
                  <c:v>166376</c:v>
                </c:pt>
                <c:pt idx="12">
                  <c:v>162297</c:v>
                </c:pt>
                <c:pt idx="13">
                  <c:v>158190</c:v>
                </c:pt>
                <c:pt idx="14">
                  <c:v>161646</c:v>
                </c:pt>
                <c:pt idx="15">
                  <c:v>170377</c:v>
                </c:pt>
                <c:pt idx="16">
                  <c:v>179500</c:v>
                </c:pt>
                <c:pt idx="17">
                  <c:v>184746</c:v>
                </c:pt>
              </c:numCache>
            </c:numRef>
          </c:val>
          <c:extLst>
            <c:ext xmlns:c16="http://schemas.microsoft.com/office/drawing/2014/chart" uri="{C3380CC4-5D6E-409C-BE32-E72D297353CC}">
              <c16:uniqueId val="{00000002-6956-42F9-A255-65488E09B780}"/>
            </c:ext>
          </c:extLst>
        </c:ser>
        <c:ser>
          <c:idx val="1"/>
          <c:order val="4"/>
          <c:tx>
            <c:strRef>
              <c:f>'Ch3. First filings'!$A$7</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filings'!$B$7:$S$7</c:f>
              <c:numCache>
                <c:formatCode>#,##0</c:formatCode>
                <c:ptCount val="18"/>
                <c:pt idx="0">
                  <c:v>362342</c:v>
                </c:pt>
                <c:pt idx="1">
                  <c:v>359382</c:v>
                </c:pt>
                <c:pt idx="2">
                  <c:v>336013</c:v>
                </c:pt>
                <c:pt idx="3">
                  <c:v>321375</c:v>
                </c:pt>
                <c:pt idx="4">
                  <c:v>317528</c:v>
                </c:pt>
                <c:pt idx="5">
                  <c:v>282359</c:v>
                </c:pt>
                <c:pt idx="6">
                  <c:v>276156</c:v>
                </c:pt>
                <c:pt idx="7">
                  <c:v>271683</c:v>
                </c:pt>
                <c:pt idx="8">
                  <c:v>269132</c:v>
                </c:pt>
                <c:pt idx="9">
                  <c:v>252391</c:v>
                </c:pt>
                <c:pt idx="10">
                  <c:v>245343</c:v>
                </c:pt>
                <c:pt idx="11">
                  <c:v>237574</c:v>
                </c:pt>
                <c:pt idx="12">
                  <c:v>238167</c:v>
                </c:pt>
                <c:pt idx="13">
                  <c:v>236216</c:v>
                </c:pt>
                <c:pt idx="14">
                  <c:v>228705</c:v>
                </c:pt>
                <c:pt idx="15">
                  <c:v>219138</c:v>
                </c:pt>
                <c:pt idx="16">
                  <c:v>200385</c:v>
                </c:pt>
                <c:pt idx="17">
                  <c:v>194630</c:v>
                </c:pt>
              </c:numCache>
            </c:numRef>
          </c:val>
          <c:extLst>
            <c:ext xmlns:c16="http://schemas.microsoft.com/office/drawing/2014/chart" uri="{C3380CC4-5D6E-409C-BE32-E72D297353CC}">
              <c16:uniqueId val="{00000001-6956-42F9-A255-65488E09B780}"/>
            </c:ext>
          </c:extLst>
        </c:ser>
        <c:ser>
          <c:idx val="0"/>
          <c:order val="5"/>
          <c:tx>
            <c:strRef>
              <c:f>'Ch3. First filings'!$A$6</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filings'!$B$6:$S$6</c:f>
              <c:numCache>
                <c:formatCode>#,##0</c:formatCode>
                <c:ptCount val="18"/>
                <c:pt idx="0">
                  <c:v>127112</c:v>
                </c:pt>
                <c:pt idx="1">
                  <c:v>126652</c:v>
                </c:pt>
                <c:pt idx="2">
                  <c:v>129229</c:v>
                </c:pt>
                <c:pt idx="3">
                  <c:v>131364</c:v>
                </c:pt>
                <c:pt idx="4">
                  <c:v>132401</c:v>
                </c:pt>
                <c:pt idx="5">
                  <c:v>132568</c:v>
                </c:pt>
                <c:pt idx="6">
                  <c:v>117916</c:v>
                </c:pt>
                <c:pt idx="7">
                  <c:v>124435</c:v>
                </c:pt>
                <c:pt idx="8">
                  <c:v>126222</c:v>
                </c:pt>
                <c:pt idx="9">
                  <c:v>127188</c:v>
                </c:pt>
                <c:pt idx="10">
                  <c:v>128438</c:v>
                </c:pt>
                <c:pt idx="11">
                  <c:v>127357</c:v>
                </c:pt>
                <c:pt idx="12">
                  <c:v>130034.25</c:v>
                </c:pt>
                <c:pt idx="13">
                  <c:v>130216</c:v>
                </c:pt>
                <c:pt idx="14">
                  <c:v>130840</c:v>
                </c:pt>
                <c:pt idx="15">
                  <c:v>134118</c:v>
                </c:pt>
                <c:pt idx="16">
                  <c:v>129364</c:v>
                </c:pt>
                <c:pt idx="17">
                  <c:v>126554</c:v>
                </c:pt>
              </c:numCache>
            </c:numRef>
          </c:val>
          <c:extLst>
            <c:ext xmlns:c16="http://schemas.microsoft.com/office/drawing/2014/chart" uri="{C3380CC4-5D6E-409C-BE32-E72D297353CC}">
              <c16:uniqueId val="{00000000-6956-42F9-A255-65488E09B780}"/>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filings'!$B$5:$S$5</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First filings'!$B$12:$S$12</c:f>
              <c:numCache>
                <c:formatCode>#,##0</c:formatCode>
                <c:ptCount val="18"/>
                <c:pt idx="0">
                  <c:v>898181</c:v>
                </c:pt>
                <c:pt idx="1">
                  <c:v>954209</c:v>
                </c:pt>
                <c:pt idx="2">
                  <c:v>995381</c:v>
                </c:pt>
                <c:pt idx="3">
                  <c:v>1021866</c:v>
                </c:pt>
                <c:pt idx="4">
                  <c:v>1102214</c:v>
                </c:pt>
                <c:pt idx="5">
                  <c:v>1074071</c:v>
                </c:pt>
                <c:pt idx="6">
                  <c:v>1120985</c:v>
                </c:pt>
                <c:pt idx="7">
                  <c:v>1250767</c:v>
                </c:pt>
                <c:pt idx="8">
                  <c:v>1407253</c:v>
                </c:pt>
                <c:pt idx="9">
                  <c:v>1594408</c:v>
                </c:pt>
                <c:pt idx="10">
                  <c:v>1680339</c:v>
                </c:pt>
                <c:pt idx="11">
                  <c:v>1845409</c:v>
                </c:pt>
                <c:pt idx="12">
                  <c:v>2087361.25</c:v>
                </c:pt>
                <c:pt idx="13">
                  <c:v>2119610</c:v>
                </c:pt>
                <c:pt idx="14">
                  <c:v>2255186</c:v>
                </c:pt>
                <c:pt idx="15">
                  <c:v>2105047</c:v>
                </c:pt>
                <c:pt idx="16">
                  <c:v>2181324</c:v>
                </c:pt>
                <c:pt idx="17">
                  <c:v>2240384</c:v>
                </c:pt>
              </c:numCache>
            </c:numRef>
          </c:val>
          <c:extLst>
            <c:ext xmlns:c16="http://schemas.microsoft.com/office/drawing/2014/chart" uri="{C3380CC4-5D6E-409C-BE32-E72D297353CC}">
              <c16:uniqueId val="{00000006-6956-42F9-A255-65488E09B780}"/>
            </c:ext>
          </c:extLst>
        </c:ser>
        <c:dLbls>
          <c:showLegendKey val="0"/>
          <c:showVal val="0"/>
          <c:showCatName val="0"/>
          <c:showSerName val="0"/>
          <c:showPercent val="0"/>
          <c:showBubbleSize val="0"/>
        </c:dLbls>
        <c:gapWidth val="10"/>
        <c:overlap val="100"/>
        <c:axId val="699449872"/>
        <c:axId val="699456760"/>
      </c:barChart>
      <c:catAx>
        <c:axId val="69944987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99456760"/>
        <c:crosses val="autoZero"/>
        <c:auto val="1"/>
        <c:lblAlgn val="ctr"/>
        <c:lblOffset val="100"/>
        <c:noMultiLvlLbl val="0"/>
      </c:catAx>
      <c:valAx>
        <c:axId val="699456760"/>
        <c:scaling>
          <c:orientation val="minMax"/>
          <c:max val="2500000"/>
        </c:scaling>
        <c:delete val="1"/>
        <c:axPos val="l"/>
        <c:numFmt formatCode="#,##0" sourceLinked="1"/>
        <c:majorTickMark val="none"/>
        <c:minorTickMark val="none"/>
        <c:tickLblPos val="nextTo"/>
        <c:crossAx val="699449872"/>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Fig.3.4 WORLDWIDE PATENT FILINGS - FIRST FILINGS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503502642606702E-2"/>
          <c:y val="0.10302777777777777"/>
          <c:w val="0.85435012071258853"/>
          <c:h val="0.79899912510936133"/>
        </c:manualLayout>
      </c:layout>
      <c:barChart>
        <c:barDir val="col"/>
        <c:grouping val="stacked"/>
        <c:varyColors val="0"/>
        <c:ser>
          <c:idx val="5"/>
          <c:order val="0"/>
          <c:tx>
            <c:strRef>
              <c:f>'Ch3. First filings'!$A$11</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filings'!$I$11:$S$11</c:f>
              <c:numCache>
                <c:formatCode>#,##0</c:formatCode>
                <c:ptCount val="11"/>
                <c:pt idx="0">
                  <c:v>71808</c:v>
                </c:pt>
                <c:pt idx="1">
                  <c:v>80343</c:v>
                </c:pt>
                <c:pt idx="2">
                  <c:v>88645</c:v>
                </c:pt>
                <c:pt idx="3">
                  <c:v>84315</c:v>
                </c:pt>
                <c:pt idx="4">
                  <c:v>88691</c:v>
                </c:pt>
                <c:pt idx="5">
                  <c:v>91795</c:v>
                </c:pt>
                <c:pt idx="6">
                  <c:v>89036</c:v>
                </c:pt>
                <c:pt idx="7">
                  <c:v>90428</c:v>
                </c:pt>
                <c:pt idx="8">
                  <c:v>90090</c:v>
                </c:pt>
                <c:pt idx="9">
                  <c:v>94995</c:v>
                </c:pt>
                <c:pt idx="10">
                  <c:v>83900</c:v>
                </c:pt>
              </c:numCache>
            </c:numRef>
          </c:val>
          <c:extLst>
            <c:ext xmlns:c16="http://schemas.microsoft.com/office/drawing/2014/chart" uri="{C3380CC4-5D6E-409C-BE32-E72D297353CC}">
              <c16:uniqueId val="{00000000-5BD7-473F-A5FC-322879F8D39A}"/>
            </c:ext>
          </c:extLst>
        </c:ser>
        <c:ser>
          <c:idx val="4"/>
          <c:order val="1"/>
          <c:tx>
            <c:strRef>
              <c:f>'Ch3. First filings'!$A$10</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filings'!$I$10:$S$10</c:f>
              <c:numCache>
                <c:formatCode>#,##0</c:formatCode>
                <c:ptCount val="11"/>
                <c:pt idx="0">
                  <c:v>231630</c:v>
                </c:pt>
                <c:pt idx="1">
                  <c:v>250617</c:v>
                </c:pt>
                <c:pt idx="2">
                  <c:v>264923</c:v>
                </c:pt>
                <c:pt idx="3">
                  <c:v>260984</c:v>
                </c:pt>
                <c:pt idx="4">
                  <c:v>260274</c:v>
                </c:pt>
                <c:pt idx="5">
                  <c:v>264685</c:v>
                </c:pt>
                <c:pt idx="6">
                  <c:v>260824</c:v>
                </c:pt>
                <c:pt idx="7">
                  <c:v>250372</c:v>
                </c:pt>
                <c:pt idx="8">
                  <c:v>248498</c:v>
                </c:pt>
                <c:pt idx="9">
                  <c:v>232914</c:v>
                </c:pt>
                <c:pt idx="10">
                  <c:v>224805</c:v>
                </c:pt>
              </c:numCache>
            </c:numRef>
          </c:val>
          <c:extLst>
            <c:ext xmlns:c16="http://schemas.microsoft.com/office/drawing/2014/chart" uri="{C3380CC4-5D6E-409C-BE32-E72D297353CC}">
              <c16:uniqueId val="{00000001-5BD7-473F-A5FC-322879F8D39A}"/>
            </c:ext>
          </c:extLst>
        </c:ser>
        <c:ser>
          <c:idx val="3"/>
          <c:order val="2"/>
          <c:tx>
            <c:strRef>
              <c:f>'Ch3. First filings'!$A$9</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filings'!$I$9:$S$9</c:f>
              <c:numCache>
                <c:formatCode>#,##0</c:formatCode>
                <c:ptCount val="11"/>
                <c:pt idx="0">
                  <c:v>413540</c:v>
                </c:pt>
                <c:pt idx="1">
                  <c:v>533245</c:v>
                </c:pt>
                <c:pt idx="2">
                  <c:v>702013</c:v>
                </c:pt>
                <c:pt idx="3">
                  <c:v>798074</c:v>
                </c:pt>
                <c:pt idx="4">
                  <c:v>965137</c:v>
                </c:pt>
                <c:pt idx="5">
                  <c:v>1200383</c:v>
                </c:pt>
                <c:pt idx="6">
                  <c:v>1245128</c:v>
                </c:pt>
                <c:pt idx="7">
                  <c:v>1393195</c:v>
                </c:pt>
                <c:pt idx="8">
                  <c:v>1242826</c:v>
                </c:pt>
                <c:pt idx="9">
                  <c:v>1344166</c:v>
                </c:pt>
                <c:pt idx="10">
                  <c:v>1425749</c:v>
                </c:pt>
              </c:numCache>
            </c:numRef>
          </c:val>
          <c:extLst>
            <c:ext xmlns:c16="http://schemas.microsoft.com/office/drawing/2014/chart" uri="{C3380CC4-5D6E-409C-BE32-E72D297353CC}">
              <c16:uniqueId val="{00000002-5BD7-473F-A5FC-322879F8D39A}"/>
            </c:ext>
          </c:extLst>
        </c:ser>
        <c:ser>
          <c:idx val="2"/>
          <c:order val="3"/>
          <c:tx>
            <c:strRef>
              <c:f>'Ch3. First filings'!$A$8</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filings'!$I$8:$S$8</c:f>
              <c:numCache>
                <c:formatCode>#,##0</c:formatCode>
                <c:ptCount val="11"/>
                <c:pt idx="0">
                  <c:v>137671</c:v>
                </c:pt>
                <c:pt idx="1">
                  <c:v>147694</c:v>
                </c:pt>
                <c:pt idx="2">
                  <c:v>159248</c:v>
                </c:pt>
                <c:pt idx="3">
                  <c:v>163185</c:v>
                </c:pt>
                <c:pt idx="4">
                  <c:v>166376</c:v>
                </c:pt>
                <c:pt idx="5">
                  <c:v>162297</c:v>
                </c:pt>
                <c:pt idx="6">
                  <c:v>158190</c:v>
                </c:pt>
                <c:pt idx="7">
                  <c:v>161646</c:v>
                </c:pt>
                <c:pt idx="8">
                  <c:v>170377</c:v>
                </c:pt>
                <c:pt idx="9">
                  <c:v>179500</c:v>
                </c:pt>
                <c:pt idx="10">
                  <c:v>184746</c:v>
                </c:pt>
              </c:numCache>
            </c:numRef>
          </c:val>
          <c:extLst>
            <c:ext xmlns:c16="http://schemas.microsoft.com/office/drawing/2014/chart" uri="{C3380CC4-5D6E-409C-BE32-E72D297353CC}">
              <c16:uniqueId val="{00000003-5BD7-473F-A5FC-322879F8D39A}"/>
            </c:ext>
          </c:extLst>
        </c:ser>
        <c:ser>
          <c:idx val="1"/>
          <c:order val="4"/>
          <c:tx>
            <c:strRef>
              <c:f>'Ch3. First filings'!$A$7</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filings'!$I$7:$S$7</c:f>
              <c:numCache>
                <c:formatCode>#,##0</c:formatCode>
                <c:ptCount val="11"/>
                <c:pt idx="0">
                  <c:v>271683</c:v>
                </c:pt>
                <c:pt idx="1">
                  <c:v>269132</c:v>
                </c:pt>
                <c:pt idx="2">
                  <c:v>252391</c:v>
                </c:pt>
                <c:pt idx="3">
                  <c:v>245343</c:v>
                </c:pt>
                <c:pt idx="4">
                  <c:v>237574</c:v>
                </c:pt>
                <c:pt idx="5">
                  <c:v>238167</c:v>
                </c:pt>
                <c:pt idx="6">
                  <c:v>236216</c:v>
                </c:pt>
                <c:pt idx="7">
                  <c:v>228705</c:v>
                </c:pt>
                <c:pt idx="8">
                  <c:v>219138</c:v>
                </c:pt>
                <c:pt idx="9">
                  <c:v>200385</c:v>
                </c:pt>
                <c:pt idx="10">
                  <c:v>194630</c:v>
                </c:pt>
              </c:numCache>
            </c:numRef>
          </c:val>
          <c:extLst>
            <c:ext xmlns:c16="http://schemas.microsoft.com/office/drawing/2014/chart" uri="{C3380CC4-5D6E-409C-BE32-E72D297353CC}">
              <c16:uniqueId val="{00000004-5BD7-473F-A5FC-322879F8D39A}"/>
            </c:ext>
          </c:extLst>
        </c:ser>
        <c:ser>
          <c:idx val="0"/>
          <c:order val="5"/>
          <c:tx>
            <c:strRef>
              <c:f>'Ch3. First filings'!$A$6</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filings'!$I$6:$S$6</c:f>
              <c:numCache>
                <c:formatCode>#,##0</c:formatCode>
                <c:ptCount val="11"/>
                <c:pt idx="0">
                  <c:v>124435</c:v>
                </c:pt>
                <c:pt idx="1">
                  <c:v>126222</c:v>
                </c:pt>
                <c:pt idx="2">
                  <c:v>127188</c:v>
                </c:pt>
                <c:pt idx="3">
                  <c:v>128438</c:v>
                </c:pt>
                <c:pt idx="4">
                  <c:v>127357</c:v>
                </c:pt>
                <c:pt idx="5">
                  <c:v>130034.25</c:v>
                </c:pt>
                <c:pt idx="6">
                  <c:v>130216</c:v>
                </c:pt>
                <c:pt idx="7">
                  <c:v>130840</c:v>
                </c:pt>
                <c:pt idx="8">
                  <c:v>134118</c:v>
                </c:pt>
                <c:pt idx="9">
                  <c:v>129364</c:v>
                </c:pt>
                <c:pt idx="10">
                  <c:v>126554</c:v>
                </c:pt>
              </c:numCache>
            </c:numRef>
          </c:val>
          <c:extLst>
            <c:ext xmlns:c16="http://schemas.microsoft.com/office/drawing/2014/chart" uri="{C3380CC4-5D6E-409C-BE32-E72D297353CC}">
              <c16:uniqueId val="{00000005-5BD7-473F-A5FC-322879F8D39A}"/>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filings'!$I$5:$S$5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First filings'!$I$12:$S$12</c:f>
              <c:numCache>
                <c:formatCode>#,##0</c:formatCode>
                <c:ptCount val="11"/>
                <c:pt idx="0">
                  <c:v>1250767</c:v>
                </c:pt>
                <c:pt idx="1">
                  <c:v>1407253</c:v>
                </c:pt>
                <c:pt idx="2">
                  <c:v>1594408</c:v>
                </c:pt>
                <c:pt idx="3">
                  <c:v>1680339</c:v>
                </c:pt>
                <c:pt idx="4">
                  <c:v>1845409</c:v>
                </c:pt>
                <c:pt idx="5">
                  <c:v>2087361.25</c:v>
                </c:pt>
                <c:pt idx="6">
                  <c:v>2119610</c:v>
                </c:pt>
                <c:pt idx="7">
                  <c:v>2255186</c:v>
                </c:pt>
                <c:pt idx="8">
                  <c:v>2105047</c:v>
                </c:pt>
                <c:pt idx="9">
                  <c:v>2181324</c:v>
                </c:pt>
                <c:pt idx="10">
                  <c:v>2240384</c:v>
                </c:pt>
              </c:numCache>
            </c:numRef>
          </c:val>
          <c:extLst>
            <c:ext xmlns:c16="http://schemas.microsoft.com/office/drawing/2014/chart" uri="{C3380CC4-5D6E-409C-BE32-E72D297353CC}">
              <c16:uniqueId val="{00000006-5BD7-473F-A5FC-322879F8D39A}"/>
            </c:ext>
          </c:extLst>
        </c:ser>
        <c:dLbls>
          <c:showLegendKey val="0"/>
          <c:showVal val="0"/>
          <c:showCatName val="0"/>
          <c:showSerName val="0"/>
          <c:showPercent val="0"/>
          <c:showBubbleSize val="0"/>
        </c:dLbls>
        <c:gapWidth val="10"/>
        <c:overlap val="100"/>
        <c:axId val="699449872"/>
        <c:axId val="699456760"/>
      </c:barChart>
      <c:catAx>
        <c:axId val="69944987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99456760"/>
        <c:crosses val="autoZero"/>
        <c:auto val="1"/>
        <c:lblAlgn val="ctr"/>
        <c:lblOffset val="100"/>
        <c:noMultiLvlLbl val="0"/>
      </c:catAx>
      <c:valAx>
        <c:axId val="699456760"/>
        <c:scaling>
          <c:orientation val="minMax"/>
          <c:max val="2500000"/>
        </c:scaling>
        <c:delete val="1"/>
        <c:axPos val="l"/>
        <c:numFmt formatCode="#,##0" sourceLinked="1"/>
        <c:majorTickMark val="none"/>
        <c:minorTickMark val="none"/>
        <c:tickLblPos val="nextTo"/>
        <c:crossAx val="699449872"/>
        <c:crosses val="autoZero"/>
        <c:crossBetween val="between"/>
      </c:valAx>
      <c:spPr>
        <a:noFill/>
        <a:ln>
          <a:noFill/>
        </a:ln>
        <a:effectLst/>
      </c:spPr>
    </c:plotArea>
    <c:legend>
      <c:legendPos val="r"/>
      <c:legendEntry>
        <c:idx val="0"/>
        <c:delete val="1"/>
      </c:legendEntry>
      <c:layout>
        <c:manualLayout>
          <c:xMode val="edge"/>
          <c:yMode val="edge"/>
          <c:x val="0.86290692472692987"/>
          <c:y val="0.19870647419072615"/>
          <c:w val="0.12918197787561331"/>
          <c:h val="0.5750590551181102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Fig.3.5: WORLDWIDE PATENT APPLICATIONS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Patent applications'!$B$118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applications'!$D$118:$U$118</c:f>
              <c:numCache>
                <c:formatCode>#,##0</c:formatCode>
                <c:ptCount val="18"/>
                <c:pt idx="0">
                  <c:v>1149981</c:v>
                </c:pt>
                <c:pt idx="1">
                  <c:v>1237028</c:v>
                </c:pt>
                <c:pt idx="2">
                  <c:v>1282384</c:v>
                </c:pt>
                <c:pt idx="3">
                  <c:v>1307377</c:v>
                </c:pt>
                <c:pt idx="4">
                  <c:v>1382985</c:v>
                </c:pt>
                <c:pt idx="5">
                  <c:v>1331777</c:v>
                </c:pt>
                <c:pt idx="6">
                  <c:v>1389232</c:v>
                </c:pt>
                <c:pt idx="7">
                  <c:v>1555711</c:v>
                </c:pt>
                <c:pt idx="8">
                  <c:v>1728578</c:v>
                </c:pt>
                <c:pt idx="9">
                  <c:v>1921441</c:v>
                </c:pt>
                <c:pt idx="10">
                  <c:v>2008933</c:v>
                </c:pt>
                <c:pt idx="11">
                  <c:v>2188932</c:v>
                </c:pt>
                <c:pt idx="12">
                  <c:v>2436257</c:v>
                </c:pt>
                <c:pt idx="13">
                  <c:v>2456411</c:v>
                </c:pt>
                <c:pt idx="14">
                  <c:v>2600036</c:v>
                </c:pt>
                <c:pt idx="15">
                  <c:v>2465543</c:v>
                </c:pt>
                <c:pt idx="16">
                  <c:v>2538782</c:v>
                </c:pt>
                <c:pt idx="17">
                  <c:v>2598438</c:v>
                </c:pt>
              </c:numCache>
            </c:numRef>
          </c:val>
          <c:extLst>
            <c:ext xmlns:c16="http://schemas.microsoft.com/office/drawing/2014/chart" uri="{C3380CC4-5D6E-409C-BE32-E72D297353CC}">
              <c16:uniqueId val="{00000000-E0D3-4CEB-8C8A-DF05C6E77635}"/>
            </c:ext>
          </c:extLst>
        </c:ser>
        <c:ser>
          <c:idx val="1"/>
          <c:order val="1"/>
          <c:tx>
            <c:strRef>
              <c:f>'Ch3. Patent applications'!$B$119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applications'!$D$119:$U$119</c:f>
              <c:numCache>
                <c:formatCode>#,##0</c:formatCode>
                <c:ptCount val="18"/>
                <c:pt idx="0">
                  <c:v>58784</c:v>
                </c:pt>
                <c:pt idx="1">
                  <c:v>61203</c:v>
                </c:pt>
                <c:pt idx="2">
                  <c:v>61434</c:v>
                </c:pt>
                <c:pt idx="3">
                  <c:v>62606</c:v>
                </c:pt>
                <c:pt idx="4">
                  <c:v>63095</c:v>
                </c:pt>
                <c:pt idx="5">
                  <c:v>56448</c:v>
                </c:pt>
                <c:pt idx="6">
                  <c:v>71945</c:v>
                </c:pt>
                <c:pt idx="7">
                  <c:v>63183</c:v>
                </c:pt>
                <c:pt idx="8">
                  <c:v>64539</c:v>
                </c:pt>
                <c:pt idx="9">
                  <c:v>64431</c:v>
                </c:pt>
                <c:pt idx="10">
                  <c:v>63733</c:v>
                </c:pt>
                <c:pt idx="11">
                  <c:v>64548</c:v>
                </c:pt>
                <c:pt idx="12">
                  <c:v>67559</c:v>
                </c:pt>
                <c:pt idx="13">
                  <c:v>70944</c:v>
                </c:pt>
                <c:pt idx="14">
                  <c:v>75478</c:v>
                </c:pt>
                <c:pt idx="15">
                  <c:v>79019</c:v>
                </c:pt>
                <c:pt idx="16">
                  <c:v>76930</c:v>
                </c:pt>
                <c:pt idx="17">
                  <c:v>75129</c:v>
                </c:pt>
              </c:numCache>
            </c:numRef>
          </c:val>
          <c:extLst>
            <c:ext xmlns:c16="http://schemas.microsoft.com/office/drawing/2014/chart" uri="{C3380CC4-5D6E-409C-BE32-E72D297353CC}">
              <c16:uniqueId val="{00000001-E0D3-4CEB-8C8A-DF05C6E77635}"/>
            </c:ext>
          </c:extLst>
        </c:ser>
        <c:ser>
          <c:idx val="2"/>
          <c:order val="2"/>
          <c:tx>
            <c:strRef>
              <c:f>'Ch3. Patent applications'!$B$120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applications'!$D$120:$U$120</c:f>
              <c:numCache>
                <c:formatCode>#,##0</c:formatCode>
                <c:ptCount val="18"/>
                <c:pt idx="0">
                  <c:v>298692</c:v>
                </c:pt>
                <c:pt idx="1">
                  <c:v>329144</c:v>
                </c:pt>
                <c:pt idx="2">
                  <c:v>381797</c:v>
                </c:pt>
                <c:pt idx="3">
                  <c:v>380848</c:v>
                </c:pt>
                <c:pt idx="4">
                  <c:v>401499</c:v>
                </c:pt>
                <c:pt idx="5">
                  <c:v>374289</c:v>
                </c:pt>
                <c:pt idx="6">
                  <c:v>446420</c:v>
                </c:pt>
                <c:pt idx="7">
                  <c:v>499808</c:v>
                </c:pt>
                <c:pt idx="8">
                  <c:v>530108</c:v>
                </c:pt>
                <c:pt idx="9">
                  <c:v>564089</c:v>
                </c:pt>
                <c:pt idx="10">
                  <c:v>593193</c:v>
                </c:pt>
                <c:pt idx="11">
                  <c:v>608577</c:v>
                </c:pt>
                <c:pt idx="12">
                  <c:v>608409</c:v>
                </c:pt>
                <c:pt idx="13">
                  <c:v>628681</c:v>
                </c:pt>
                <c:pt idx="14">
                  <c:v>646602</c:v>
                </c:pt>
                <c:pt idx="15">
                  <c:v>673938</c:v>
                </c:pt>
                <c:pt idx="16">
                  <c:v>663044</c:v>
                </c:pt>
                <c:pt idx="17">
                  <c:v>713364</c:v>
                </c:pt>
              </c:numCache>
            </c:numRef>
          </c:val>
          <c:extLst>
            <c:ext xmlns:c16="http://schemas.microsoft.com/office/drawing/2014/chart" uri="{C3380CC4-5D6E-409C-BE32-E72D297353CC}">
              <c16:uniqueId val="{00000002-E0D3-4CEB-8C8A-DF05C6E77635}"/>
            </c:ext>
          </c:extLst>
        </c:ser>
        <c:ser>
          <c:idx val="3"/>
          <c:order val="3"/>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applications'!$D$121:$U$121</c:f>
              <c:numCache>
                <c:formatCode>#,##0</c:formatCode>
                <c:ptCount val="18"/>
                <c:pt idx="0">
                  <c:v>1507457</c:v>
                </c:pt>
                <c:pt idx="1">
                  <c:v>1627375</c:v>
                </c:pt>
                <c:pt idx="2">
                  <c:v>1725615</c:v>
                </c:pt>
                <c:pt idx="3">
                  <c:v>1750831</c:v>
                </c:pt>
                <c:pt idx="4">
                  <c:v>1847579</c:v>
                </c:pt>
                <c:pt idx="5">
                  <c:v>1762514</c:v>
                </c:pt>
                <c:pt idx="6">
                  <c:v>1907597</c:v>
                </c:pt>
                <c:pt idx="7">
                  <c:v>2118702</c:v>
                </c:pt>
                <c:pt idx="8">
                  <c:v>2323225</c:v>
                </c:pt>
                <c:pt idx="9">
                  <c:v>2549961</c:v>
                </c:pt>
                <c:pt idx="10">
                  <c:v>2665859</c:v>
                </c:pt>
                <c:pt idx="11">
                  <c:v>2862057</c:v>
                </c:pt>
                <c:pt idx="12">
                  <c:v>3112225</c:v>
                </c:pt>
                <c:pt idx="13">
                  <c:v>3156036</c:v>
                </c:pt>
                <c:pt idx="14">
                  <c:v>3322116</c:v>
                </c:pt>
                <c:pt idx="15">
                  <c:v>3218500</c:v>
                </c:pt>
                <c:pt idx="16">
                  <c:v>3278756</c:v>
                </c:pt>
                <c:pt idx="17">
                  <c:v>3386931</c:v>
                </c:pt>
              </c:numCache>
            </c:numRef>
          </c:val>
          <c:extLst>
            <c:ext xmlns:c16="http://schemas.microsoft.com/office/drawing/2014/chart" uri="{C3380CC4-5D6E-409C-BE32-E72D297353CC}">
              <c16:uniqueId val="{00000003-E0D3-4CEB-8C8A-DF05C6E77635}"/>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Fig.3.5: WORLDWIDE PATENT APPLICATIONS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42E-2"/>
          <c:y val="0.11239396621187454"/>
          <c:w val="0.83717546697647471"/>
          <c:h val="0.8060502997018133"/>
        </c:manualLayout>
      </c:layout>
      <c:barChart>
        <c:barDir val="col"/>
        <c:grouping val="stacked"/>
        <c:varyColors val="0"/>
        <c:ser>
          <c:idx val="0"/>
          <c:order val="0"/>
          <c:tx>
            <c:strRef>
              <c:f>'Ch3. Patent applications'!$B$118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applications'!$K$118:$U$118</c:f>
              <c:numCache>
                <c:formatCode>#,##0</c:formatCode>
                <c:ptCount val="11"/>
                <c:pt idx="0">
                  <c:v>1555711</c:v>
                </c:pt>
                <c:pt idx="1">
                  <c:v>1728578</c:v>
                </c:pt>
                <c:pt idx="2">
                  <c:v>1921441</c:v>
                </c:pt>
                <c:pt idx="3">
                  <c:v>2008933</c:v>
                </c:pt>
                <c:pt idx="4">
                  <c:v>2188932</c:v>
                </c:pt>
                <c:pt idx="5">
                  <c:v>2436257</c:v>
                </c:pt>
                <c:pt idx="6">
                  <c:v>2456411</c:v>
                </c:pt>
                <c:pt idx="7">
                  <c:v>2600036</c:v>
                </c:pt>
                <c:pt idx="8">
                  <c:v>2465543</c:v>
                </c:pt>
                <c:pt idx="9">
                  <c:v>2538782</c:v>
                </c:pt>
                <c:pt idx="10">
                  <c:v>2598438</c:v>
                </c:pt>
              </c:numCache>
            </c:numRef>
          </c:val>
          <c:extLst>
            <c:ext xmlns:c16="http://schemas.microsoft.com/office/drawing/2014/chart" uri="{C3380CC4-5D6E-409C-BE32-E72D297353CC}">
              <c16:uniqueId val="{00000000-1429-4A44-89C5-93A065FBB206}"/>
            </c:ext>
          </c:extLst>
        </c:ser>
        <c:ser>
          <c:idx val="1"/>
          <c:order val="1"/>
          <c:tx>
            <c:strRef>
              <c:f>'Ch3. Patent applications'!$B$119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applications'!$K$119:$U$119</c:f>
              <c:numCache>
                <c:formatCode>#,##0</c:formatCode>
                <c:ptCount val="11"/>
                <c:pt idx="0">
                  <c:v>63183</c:v>
                </c:pt>
                <c:pt idx="1">
                  <c:v>64539</c:v>
                </c:pt>
                <c:pt idx="2">
                  <c:v>64431</c:v>
                </c:pt>
                <c:pt idx="3">
                  <c:v>63733</c:v>
                </c:pt>
                <c:pt idx="4">
                  <c:v>64548</c:v>
                </c:pt>
                <c:pt idx="5">
                  <c:v>67559</c:v>
                </c:pt>
                <c:pt idx="6">
                  <c:v>70944</c:v>
                </c:pt>
                <c:pt idx="7">
                  <c:v>75478</c:v>
                </c:pt>
                <c:pt idx="8">
                  <c:v>79019</c:v>
                </c:pt>
                <c:pt idx="9">
                  <c:v>76930</c:v>
                </c:pt>
                <c:pt idx="10">
                  <c:v>75129</c:v>
                </c:pt>
              </c:numCache>
            </c:numRef>
          </c:val>
          <c:extLst>
            <c:ext xmlns:c16="http://schemas.microsoft.com/office/drawing/2014/chart" uri="{C3380CC4-5D6E-409C-BE32-E72D297353CC}">
              <c16:uniqueId val="{00000001-1429-4A44-89C5-93A065FBB206}"/>
            </c:ext>
          </c:extLst>
        </c:ser>
        <c:ser>
          <c:idx val="2"/>
          <c:order val="2"/>
          <c:tx>
            <c:strRef>
              <c:f>'Ch3. Patent applications'!$B$120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applications'!$K$120:$U$120</c:f>
              <c:numCache>
                <c:formatCode>#,##0</c:formatCode>
                <c:ptCount val="11"/>
                <c:pt idx="0">
                  <c:v>499808</c:v>
                </c:pt>
                <c:pt idx="1">
                  <c:v>530108</c:v>
                </c:pt>
                <c:pt idx="2">
                  <c:v>564089</c:v>
                </c:pt>
                <c:pt idx="3">
                  <c:v>593193</c:v>
                </c:pt>
                <c:pt idx="4">
                  <c:v>608577</c:v>
                </c:pt>
                <c:pt idx="5">
                  <c:v>608409</c:v>
                </c:pt>
                <c:pt idx="6">
                  <c:v>628681</c:v>
                </c:pt>
                <c:pt idx="7">
                  <c:v>646602</c:v>
                </c:pt>
                <c:pt idx="8">
                  <c:v>673938</c:v>
                </c:pt>
                <c:pt idx="9">
                  <c:v>663044</c:v>
                </c:pt>
                <c:pt idx="10">
                  <c:v>713364</c:v>
                </c:pt>
              </c:numCache>
            </c:numRef>
          </c:val>
          <c:extLst>
            <c:ext xmlns:c16="http://schemas.microsoft.com/office/drawing/2014/chart" uri="{C3380CC4-5D6E-409C-BE32-E72D297353CC}">
              <c16:uniqueId val="{00000002-1429-4A44-89C5-93A065FBB206}"/>
            </c:ext>
          </c:extLst>
        </c:ser>
        <c:ser>
          <c:idx val="3"/>
          <c:order val="3"/>
          <c:spPr>
            <a:no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applications'!$K$121:$U$121</c:f>
              <c:numCache>
                <c:formatCode>#,##0</c:formatCode>
                <c:ptCount val="11"/>
                <c:pt idx="0">
                  <c:v>2118702</c:v>
                </c:pt>
                <c:pt idx="1">
                  <c:v>2323225</c:v>
                </c:pt>
                <c:pt idx="2">
                  <c:v>2549961</c:v>
                </c:pt>
                <c:pt idx="3">
                  <c:v>2665859</c:v>
                </c:pt>
                <c:pt idx="4">
                  <c:v>2862057</c:v>
                </c:pt>
                <c:pt idx="5">
                  <c:v>3112225</c:v>
                </c:pt>
                <c:pt idx="6">
                  <c:v>3156036</c:v>
                </c:pt>
                <c:pt idx="7">
                  <c:v>3322116</c:v>
                </c:pt>
                <c:pt idx="8">
                  <c:v>3218500</c:v>
                </c:pt>
                <c:pt idx="9">
                  <c:v>3278756</c:v>
                </c:pt>
                <c:pt idx="10">
                  <c:v>3386931</c:v>
                </c:pt>
              </c:numCache>
            </c:numRef>
          </c:val>
          <c:extLst>
            <c:ext xmlns:c16="http://schemas.microsoft.com/office/drawing/2014/chart" uri="{C3380CC4-5D6E-409C-BE32-E72D297353CC}">
              <c16:uniqueId val="{00000003-1429-4A44-89C5-93A065FBB206}"/>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4668230179185122"/>
          <c:y val="0.24936250283047079"/>
          <c:w val="0.14190949642969697"/>
          <c:h val="0.4924565718102057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Fig.3.6: WORLDWIDE PATENT APPLICATIONS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Patent applications'!$B$129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applications'!$D$129:$U$129</c:f>
              <c:numCache>
                <c:formatCode>#,##0</c:formatCode>
                <c:ptCount val="18"/>
                <c:pt idx="0">
                  <c:v>152376</c:v>
                </c:pt>
                <c:pt idx="1">
                  <c:v>141605</c:v>
                </c:pt>
                <c:pt idx="2">
                  <c:v>160394</c:v>
                </c:pt>
                <c:pt idx="3">
                  <c:v>133600</c:v>
                </c:pt>
                <c:pt idx="4">
                  <c:v>188504</c:v>
                </c:pt>
                <c:pt idx="5">
                  <c:v>170558</c:v>
                </c:pt>
                <c:pt idx="6">
                  <c:v>163113</c:v>
                </c:pt>
                <c:pt idx="7">
                  <c:v>168437</c:v>
                </c:pt>
                <c:pt idx="8">
                  <c:v>179573</c:v>
                </c:pt>
                <c:pt idx="9">
                  <c:v>195044</c:v>
                </c:pt>
                <c:pt idx="10">
                  <c:v>192045</c:v>
                </c:pt>
                <c:pt idx="11">
                  <c:v>205108</c:v>
                </c:pt>
                <c:pt idx="12">
                  <c:v>202536</c:v>
                </c:pt>
                <c:pt idx="13">
                  <c:v>199886</c:v>
                </c:pt>
                <c:pt idx="14">
                  <c:v>210957</c:v>
                </c:pt>
                <c:pt idx="15">
                  <c:v>229235</c:v>
                </c:pt>
                <c:pt idx="16">
                  <c:v>237698</c:v>
                </c:pt>
                <c:pt idx="17">
                  <c:v>227117</c:v>
                </c:pt>
              </c:numCache>
            </c:numRef>
          </c:val>
          <c:extLst>
            <c:ext xmlns:c16="http://schemas.microsoft.com/office/drawing/2014/chart" uri="{C3380CC4-5D6E-409C-BE32-E72D297353CC}">
              <c16:uniqueId val="{00000006-ED4B-46AB-A5DB-5AB1D929E714}"/>
            </c:ext>
          </c:extLst>
        </c:ser>
        <c:ser>
          <c:idx val="4"/>
          <c:order val="1"/>
          <c:tx>
            <c:strRef>
              <c:f>'Ch3. Patent applications'!$B$128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applications'!$D$128:$U$128</c:f>
              <c:numCache>
                <c:formatCode>#,##0</c:formatCode>
                <c:ptCount val="18"/>
                <c:pt idx="0">
                  <c:v>317421</c:v>
                </c:pt>
                <c:pt idx="1">
                  <c:v>360601</c:v>
                </c:pt>
                <c:pt idx="2">
                  <c:v>388937</c:v>
                </c:pt>
                <c:pt idx="3">
                  <c:v>409960</c:v>
                </c:pt>
                <c:pt idx="4">
                  <c:v>400786</c:v>
                </c:pt>
                <c:pt idx="5">
                  <c:v>365529</c:v>
                </c:pt>
                <c:pt idx="6">
                  <c:v>415086</c:v>
                </c:pt>
                <c:pt idx="7">
                  <c:v>434197</c:v>
                </c:pt>
                <c:pt idx="8">
                  <c:v>460745</c:v>
                </c:pt>
                <c:pt idx="9">
                  <c:v>487330</c:v>
                </c:pt>
                <c:pt idx="10">
                  <c:v>495956</c:v>
                </c:pt>
                <c:pt idx="11">
                  <c:v>517156</c:v>
                </c:pt>
                <c:pt idx="12">
                  <c:v>512170</c:v>
                </c:pt>
                <c:pt idx="13">
                  <c:v>513622</c:v>
                </c:pt>
                <c:pt idx="14">
                  <c:v>503924</c:v>
                </c:pt>
                <c:pt idx="15">
                  <c:v>509780</c:v>
                </c:pt>
                <c:pt idx="16">
                  <c:v>484825</c:v>
                </c:pt>
                <c:pt idx="17">
                  <c:v>500207</c:v>
                </c:pt>
              </c:numCache>
            </c:numRef>
          </c:val>
          <c:extLst>
            <c:ext xmlns:c16="http://schemas.microsoft.com/office/drawing/2014/chart" uri="{C3380CC4-5D6E-409C-BE32-E72D297353CC}">
              <c16:uniqueId val="{00000005-ED4B-46AB-A5DB-5AB1D929E714}"/>
            </c:ext>
          </c:extLst>
        </c:ser>
        <c:ser>
          <c:idx val="3"/>
          <c:order val="2"/>
          <c:tx>
            <c:strRef>
              <c:f>'Ch3. Patent applications'!$B$127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applications'!$D$127:$U$127</c:f>
              <c:numCache>
                <c:formatCode>#,##0</c:formatCode>
                <c:ptCount val="18"/>
                <c:pt idx="0">
                  <c:v>68884</c:v>
                </c:pt>
                <c:pt idx="1">
                  <c:v>97454</c:v>
                </c:pt>
                <c:pt idx="2">
                  <c:v>128787</c:v>
                </c:pt>
                <c:pt idx="3">
                  <c:v>160523</c:v>
                </c:pt>
                <c:pt idx="4">
                  <c:v>203483</c:v>
                </c:pt>
                <c:pt idx="5">
                  <c:v>240427</c:v>
                </c:pt>
                <c:pt idx="6">
                  <c:v>307260</c:v>
                </c:pt>
                <c:pt idx="7">
                  <c:v>435751</c:v>
                </c:pt>
                <c:pt idx="8">
                  <c:v>561010</c:v>
                </c:pt>
                <c:pt idx="9">
                  <c:v>733301</c:v>
                </c:pt>
                <c:pt idx="10">
                  <c:v>836058</c:v>
                </c:pt>
                <c:pt idx="11">
                  <c:v>1009594</c:v>
                </c:pt>
                <c:pt idx="12">
                  <c:v>1256740</c:v>
                </c:pt>
                <c:pt idx="13">
                  <c:v>1304942</c:v>
                </c:pt>
                <c:pt idx="14">
                  <c:v>1459256</c:v>
                </c:pt>
                <c:pt idx="15">
                  <c:v>1327116</c:v>
                </c:pt>
                <c:pt idx="16">
                  <c:v>1439699</c:v>
                </c:pt>
                <c:pt idx="17">
                  <c:v>1537527</c:v>
                </c:pt>
              </c:numCache>
            </c:numRef>
          </c:val>
          <c:extLst>
            <c:ext xmlns:c16="http://schemas.microsoft.com/office/drawing/2014/chart" uri="{C3380CC4-5D6E-409C-BE32-E72D297353CC}">
              <c16:uniqueId val="{00000003-ED4B-46AB-A5DB-5AB1D929E714}"/>
            </c:ext>
          </c:extLst>
        </c:ser>
        <c:ser>
          <c:idx val="2"/>
          <c:order val="3"/>
          <c:tx>
            <c:strRef>
              <c:f>'Ch3. Patent applications'!$B$126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applications'!$D$126:$U$126</c:f>
              <c:numCache>
                <c:formatCode>#,##0</c:formatCode>
                <c:ptCount val="18"/>
                <c:pt idx="0">
                  <c:v>136176</c:v>
                </c:pt>
                <c:pt idx="1">
                  <c:v>161555</c:v>
                </c:pt>
                <c:pt idx="2">
                  <c:v>172650</c:v>
                </c:pt>
                <c:pt idx="3">
                  <c:v>174896</c:v>
                </c:pt>
                <c:pt idx="4">
                  <c:v>172352</c:v>
                </c:pt>
                <c:pt idx="5">
                  <c:v>168805</c:v>
                </c:pt>
                <c:pt idx="6">
                  <c:v>177695</c:v>
                </c:pt>
                <c:pt idx="7">
                  <c:v>187651</c:v>
                </c:pt>
                <c:pt idx="8">
                  <c:v>203643</c:v>
                </c:pt>
                <c:pt idx="9">
                  <c:v>223311</c:v>
                </c:pt>
                <c:pt idx="10">
                  <c:v>230403</c:v>
                </c:pt>
                <c:pt idx="11">
                  <c:v>237844</c:v>
                </c:pt>
                <c:pt idx="12">
                  <c:v>233530</c:v>
                </c:pt>
                <c:pt idx="13">
                  <c:v>226336</c:v>
                </c:pt>
                <c:pt idx="14">
                  <c:v>231708</c:v>
                </c:pt>
                <c:pt idx="15">
                  <c:v>248133</c:v>
                </c:pt>
                <c:pt idx="16">
                  <c:v>260164</c:v>
                </c:pt>
                <c:pt idx="17">
                  <c:v>267165</c:v>
                </c:pt>
              </c:numCache>
            </c:numRef>
          </c:val>
          <c:extLst>
            <c:ext xmlns:c16="http://schemas.microsoft.com/office/drawing/2014/chart" uri="{C3380CC4-5D6E-409C-BE32-E72D297353CC}">
              <c16:uniqueId val="{00000002-ED4B-46AB-A5DB-5AB1D929E714}"/>
            </c:ext>
          </c:extLst>
        </c:ser>
        <c:ser>
          <c:idx val="1"/>
          <c:order val="4"/>
          <c:tx>
            <c:strRef>
              <c:f>'Ch3. Patent applications'!$B$125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applications'!$D$125:$U$125</c:f>
              <c:numCache>
                <c:formatCode>#,##0</c:formatCode>
                <c:ptCount val="18"/>
                <c:pt idx="0">
                  <c:v>506567</c:v>
                </c:pt>
                <c:pt idx="1">
                  <c:v>523871</c:v>
                </c:pt>
                <c:pt idx="2">
                  <c:v>512624</c:v>
                </c:pt>
                <c:pt idx="3">
                  <c:v>501282</c:v>
                </c:pt>
                <c:pt idx="4">
                  <c:v>502081</c:v>
                </c:pt>
                <c:pt idx="5">
                  <c:v>456990</c:v>
                </c:pt>
                <c:pt idx="6">
                  <c:v>461888</c:v>
                </c:pt>
                <c:pt idx="7">
                  <c:v>473648</c:v>
                </c:pt>
                <c:pt idx="8">
                  <c:v>487020</c:v>
                </c:pt>
                <c:pt idx="9">
                  <c:v>470615</c:v>
                </c:pt>
                <c:pt idx="10">
                  <c:v>464274</c:v>
                </c:pt>
                <c:pt idx="11">
                  <c:v>453358</c:v>
                </c:pt>
                <c:pt idx="12">
                  <c:v>454890</c:v>
                </c:pt>
                <c:pt idx="13">
                  <c:v>459320</c:v>
                </c:pt>
                <c:pt idx="14">
                  <c:v>458927</c:v>
                </c:pt>
                <c:pt idx="15">
                  <c:v>452346</c:v>
                </c:pt>
                <c:pt idx="16">
                  <c:v>421965</c:v>
                </c:pt>
                <c:pt idx="17">
                  <c:v>411840</c:v>
                </c:pt>
              </c:numCache>
            </c:numRef>
          </c:val>
          <c:extLst>
            <c:ext xmlns:c16="http://schemas.microsoft.com/office/drawing/2014/chart" uri="{C3380CC4-5D6E-409C-BE32-E72D297353CC}">
              <c16:uniqueId val="{00000001-ED4B-46AB-A5DB-5AB1D929E714}"/>
            </c:ext>
          </c:extLst>
        </c:ser>
        <c:ser>
          <c:idx val="0"/>
          <c:order val="5"/>
          <c:tx>
            <c:strRef>
              <c:f>'Ch3. Patent applications'!$B$124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applications'!$D$124:$U$124</c:f>
              <c:numCache>
                <c:formatCode>#,##0</c:formatCode>
                <c:ptCount val="18"/>
                <c:pt idx="0">
                  <c:v>326033</c:v>
                </c:pt>
                <c:pt idx="1">
                  <c:v>342289</c:v>
                </c:pt>
                <c:pt idx="2">
                  <c:v>362223</c:v>
                </c:pt>
                <c:pt idx="3">
                  <c:v>370570</c:v>
                </c:pt>
                <c:pt idx="4">
                  <c:v>380373</c:v>
                </c:pt>
                <c:pt idx="5">
                  <c:v>360205</c:v>
                </c:pt>
                <c:pt idx="6">
                  <c:v>382555</c:v>
                </c:pt>
                <c:pt idx="7">
                  <c:v>419018</c:v>
                </c:pt>
                <c:pt idx="8">
                  <c:v>431246</c:v>
                </c:pt>
                <c:pt idx="9">
                  <c:v>440360</c:v>
                </c:pt>
                <c:pt idx="10">
                  <c:v>447123</c:v>
                </c:pt>
                <c:pt idx="11">
                  <c:v>438997</c:v>
                </c:pt>
                <c:pt idx="12">
                  <c:v>452359</c:v>
                </c:pt>
                <c:pt idx="13">
                  <c:v>451930</c:v>
                </c:pt>
                <c:pt idx="14">
                  <c:v>457344</c:v>
                </c:pt>
                <c:pt idx="15">
                  <c:v>451890</c:v>
                </c:pt>
                <c:pt idx="16">
                  <c:v>434405</c:v>
                </c:pt>
                <c:pt idx="17">
                  <c:v>443075</c:v>
                </c:pt>
              </c:numCache>
            </c:numRef>
          </c:val>
          <c:extLst>
            <c:ext xmlns:c16="http://schemas.microsoft.com/office/drawing/2014/chart" uri="{C3380CC4-5D6E-409C-BE32-E72D297353CC}">
              <c16:uniqueId val="{00000000-ED4B-46AB-A5DB-5AB1D929E71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applications'!$D$130:$U$130</c:f>
              <c:numCache>
                <c:formatCode>#,##0</c:formatCode>
                <c:ptCount val="18"/>
                <c:pt idx="0">
                  <c:v>1507457</c:v>
                </c:pt>
                <c:pt idx="1">
                  <c:v>1627375</c:v>
                </c:pt>
                <c:pt idx="2">
                  <c:v>1725615</c:v>
                </c:pt>
                <c:pt idx="3">
                  <c:v>1750831</c:v>
                </c:pt>
                <c:pt idx="4">
                  <c:v>1847579</c:v>
                </c:pt>
                <c:pt idx="5">
                  <c:v>1762514</c:v>
                </c:pt>
                <c:pt idx="6">
                  <c:v>1907597</c:v>
                </c:pt>
                <c:pt idx="7">
                  <c:v>2118702</c:v>
                </c:pt>
                <c:pt idx="8">
                  <c:v>2323237</c:v>
                </c:pt>
                <c:pt idx="9">
                  <c:v>2549961</c:v>
                </c:pt>
                <c:pt idx="10">
                  <c:v>2665859</c:v>
                </c:pt>
                <c:pt idx="11">
                  <c:v>2862057</c:v>
                </c:pt>
                <c:pt idx="12">
                  <c:v>3112225</c:v>
                </c:pt>
                <c:pt idx="13">
                  <c:v>3156036</c:v>
                </c:pt>
                <c:pt idx="14">
                  <c:v>3322116</c:v>
                </c:pt>
                <c:pt idx="15">
                  <c:v>3218500</c:v>
                </c:pt>
                <c:pt idx="16">
                  <c:v>3278756</c:v>
                </c:pt>
                <c:pt idx="17">
                  <c:v>3386931</c:v>
                </c:pt>
              </c:numCache>
            </c:numRef>
          </c:val>
          <c:extLst>
            <c:ext xmlns:c16="http://schemas.microsoft.com/office/drawing/2014/chart" uri="{C3380CC4-5D6E-409C-BE32-E72D297353CC}">
              <c16:uniqueId val="{00000007-ED4B-46AB-A5DB-5AB1D929E714}"/>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Fig.3.6: WORLDWIDE PATENT APPLICATIONS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42E-2"/>
          <c:y val="0.11239396621187454"/>
          <c:w val="0.83965742457599146"/>
          <c:h val="0.8060502997018133"/>
        </c:manualLayout>
      </c:layout>
      <c:barChart>
        <c:barDir val="col"/>
        <c:grouping val="stacked"/>
        <c:varyColors val="0"/>
        <c:ser>
          <c:idx val="5"/>
          <c:order val="0"/>
          <c:tx>
            <c:strRef>
              <c:f>'Ch3. Patent applications'!$B$129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applications'!$K$129:$U$129</c:f>
              <c:numCache>
                <c:formatCode>#,##0</c:formatCode>
                <c:ptCount val="11"/>
                <c:pt idx="0">
                  <c:v>168437</c:v>
                </c:pt>
                <c:pt idx="1">
                  <c:v>179573</c:v>
                </c:pt>
                <c:pt idx="2">
                  <c:v>195044</c:v>
                </c:pt>
                <c:pt idx="3">
                  <c:v>192045</c:v>
                </c:pt>
                <c:pt idx="4">
                  <c:v>205108</c:v>
                </c:pt>
                <c:pt idx="5">
                  <c:v>202536</c:v>
                </c:pt>
                <c:pt idx="6">
                  <c:v>199886</c:v>
                </c:pt>
                <c:pt idx="7">
                  <c:v>210957</c:v>
                </c:pt>
                <c:pt idx="8">
                  <c:v>229235</c:v>
                </c:pt>
                <c:pt idx="9">
                  <c:v>237698</c:v>
                </c:pt>
                <c:pt idx="10">
                  <c:v>227117</c:v>
                </c:pt>
              </c:numCache>
            </c:numRef>
          </c:val>
          <c:extLst>
            <c:ext xmlns:c16="http://schemas.microsoft.com/office/drawing/2014/chart" uri="{C3380CC4-5D6E-409C-BE32-E72D297353CC}">
              <c16:uniqueId val="{00000005-51D4-4AD9-8C47-172AF7366C14}"/>
            </c:ext>
          </c:extLst>
        </c:ser>
        <c:ser>
          <c:idx val="4"/>
          <c:order val="1"/>
          <c:tx>
            <c:strRef>
              <c:f>'Ch3. Patent applications'!$B$128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applications'!$K$128:$U$128</c:f>
              <c:numCache>
                <c:formatCode>#,##0</c:formatCode>
                <c:ptCount val="11"/>
                <c:pt idx="0">
                  <c:v>434197</c:v>
                </c:pt>
                <c:pt idx="1">
                  <c:v>460745</c:v>
                </c:pt>
                <c:pt idx="2">
                  <c:v>487330</c:v>
                </c:pt>
                <c:pt idx="3">
                  <c:v>495956</c:v>
                </c:pt>
                <c:pt idx="4">
                  <c:v>517156</c:v>
                </c:pt>
                <c:pt idx="5">
                  <c:v>512170</c:v>
                </c:pt>
                <c:pt idx="6">
                  <c:v>513622</c:v>
                </c:pt>
                <c:pt idx="7">
                  <c:v>503924</c:v>
                </c:pt>
                <c:pt idx="8">
                  <c:v>509780</c:v>
                </c:pt>
                <c:pt idx="9">
                  <c:v>484825</c:v>
                </c:pt>
                <c:pt idx="10">
                  <c:v>500207</c:v>
                </c:pt>
              </c:numCache>
            </c:numRef>
          </c:val>
          <c:extLst>
            <c:ext xmlns:c16="http://schemas.microsoft.com/office/drawing/2014/chart" uri="{C3380CC4-5D6E-409C-BE32-E72D297353CC}">
              <c16:uniqueId val="{00000004-51D4-4AD9-8C47-172AF7366C14}"/>
            </c:ext>
          </c:extLst>
        </c:ser>
        <c:ser>
          <c:idx val="3"/>
          <c:order val="2"/>
          <c:tx>
            <c:strRef>
              <c:f>'Ch3. Patent applications'!$B$127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applications'!$K$127:$U$127</c:f>
              <c:numCache>
                <c:formatCode>#,##0</c:formatCode>
                <c:ptCount val="11"/>
                <c:pt idx="0">
                  <c:v>435751</c:v>
                </c:pt>
                <c:pt idx="1">
                  <c:v>561010</c:v>
                </c:pt>
                <c:pt idx="2">
                  <c:v>733301</c:v>
                </c:pt>
                <c:pt idx="3">
                  <c:v>836058</c:v>
                </c:pt>
                <c:pt idx="4">
                  <c:v>1009594</c:v>
                </c:pt>
                <c:pt idx="5">
                  <c:v>1256740</c:v>
                </c:pt>
                <c:pt idx="6">
                  <c:v>1304942</c:v>
                </c:pt>
                <c:pt idx="7">
                  <c:v>1459256</c:v>
                </c:pt>
                <c:pt idx="8">
                  <c:v>1327116</c:v>
                </c:pt>
                <c:pt idx="9">
                  <c:v>1439699</c:v>
                </c:pt>
                <c:pt idx="10">
                  <c:v>1537527</c:v>
                </c:pt>
              </c:numCache>
            </c:numRef>
          </c:val>
          <c:extLst>
            <c:ext xmlns:c16="http://schemas.microsoft.com/office/drawing/2014/chart" uri="{C3380CC4-5D6E-409C-BE32-E72D297353CC}">
              <c16:uniqueId val="{00000003-51D4-4AD9-8C47-172AF7366C14}"/>
            </c:ext>
          </c:extLst>
        </c:ser>
        <c:ser>
          <c:idx val="2"/>
          <c:order val="3"/>
          <c:tx>
            <c:strRef>
              <c:f>'Ch3. Patent applications'!$B$126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applications'!$K$126:$U$126</c:f>
              <c:numCache>
                <c:formatCode>#,##0</c:formatCode>
                <c:ptCount val="11"/>
                <c:pt idx="0">
                  <c:v>187651</c:v>
                </c:pt>
                <c:pt idx="1">
                  <c:v>203643</c:v>
                </c:pt>
                <c:pt idx="2">
                  <c:v>223311</c:v>
                </c:pt>
                <c:pt idx="3">
                  <c:v>230403</c:v>
                </c:pt>
                <c:pt idx="4">
                  <c:v>237844</c:v>
                </c:pt>
                <c:pt idx="5">
                  <c:v>233530</c:v>
                </c:pt>
                <c:pt idx="6">
                  <c:v>226336</c:v>
                </c:pt>
                <c:pt idx="7">
                  <c:v>231708</c:v>
                </c:pt>
                <c:pt idx="8">
                  <c:v>248133</c:v>
                </c:pt>
                <c:pt idx="9">
                  <c:v>260164</c:v>
                </c:pt>
                <c:pt idx="10">
                  <c:v>267165</c:v>
                </c:pt>
              </c:numCache>
            </c:numRef>
          </c:val>
          <c:extLst>
            <c:ext xmlns:c16="http://schemas.microsoft.com/office/drawing/2014/chart" uri="{C3380CC4-5D6E-409C-BE32-E72D297353CC}">
              <c16:uniqueId val="{00000002-51D4-4AD9-8C47-172AF7366C14}"/>
            </c:ext>
          </c:extLst>
        </c:ser>
        <c:ser>
          <c:idx val="1"/>
          <c:order val="4"/>
          <c:tx>
            <c:strRef>
              <c:f>'Ch3. Patent applications'!$B$125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applications'!$K$125:$U$125</c:f>
              <c:numCache>
                <c:formatCode>#,##0</c:formatCode>
                <c:ptCount val="11"/>
                <c:pt idx="0">
                  <c:v>473648</c:v>
                </c:pt>
                <c:pt idx="1">
                  <c:v>487020</c:v>
                </c:pt>
                <c:pt idx="2">
                  <c:v>470615</c:v>
                </c:pt>
                <c:pt idx="3">
                  <c:v>464274</c:v>
                </c:pt>
                <c:pt idx="4">
                  <c:v>453358</c:v>
                </c:pt>
                <c:pt idx="5">
                  <c:v>454890</c:v>
                </c:pt>
                <c:pt idx="6">
                  <c:v>459320</c:v>
                </c:pt>
                <c:pt idx="7">
                  <c:v>458927</c:v>
                </c:pt>
                <c:pt idx="8">
                  <c:v>452346</c:v>
                </c:pt>
                <c:pt idx="9">
                  <c:v>421965</c:v>
                </c:pt>
                <c:pt idx="10">
                  <c:v>411840</c:v>
                </c:pt>
              </c:numCache>
            </c:numRef>
          </c:val>
          <c:extLst>
            <c:ext xmlns:c16="http://schemas.microsoft.com/office/drawing/2014/chart" uri="{C3380CC4-5D6E-409C-BE32-E72D297353CC}">
              <c16:uniqueId val="{00000001-51D4-4AD9-8C47-172AF7366C14}"/>
            </c:ext>
          </c:extLst>
        </c:ser>
        <c:ser>
          <c:idx val="0"/>
          <c:order val="5"/>
          <c:tx>
            <c:strRef>
              <c:f>'Ch3. Patent applications'!$B$124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applications'!$K$124:$U$124</c:f>
              <c:numCache>
                <c:formatCode>#,##0</c:formatCode>
                <c:ptCount val="11"/>
                <c:pt idx="0">
                  <c:v>419018</c:v>
                </c:pt>
                <c:pt idx="1">
                  <c:v>431246</c:v>
                </c:pt>
                <c:pt idx="2">
                  <c:v>440360</c:v>
                </c:pt>
                <c:pt idx="3">
                  <c:v>447123</c:v>
                </c:pt>
                <c:pt idx="4">
                  <c:v>438997</c:v>
                </c:pt>
                <c:pt idx="5">
                  <c:v>452359</c:v>
                </c:pt>
                <c:pt idx="6">
                  <c:v>451930</c:v>
                </c:pt>
                <c:pt idx="7">
                  <c:v>457344</c:v>
                </c:pt>
                <c:pt idx="8">
                  <c:v>451890</c:v>
                </c:pt>
                <c:pt idx="9">
                  <c:v>434405</c:v>
                </c:pt>
                <c:pt idx="10">
                  <c:v>443075</c:v>
                </c:pt>
              </c:numCache>
            </c:numRef>
          </c:val>
          <c:extLst>
            <c:ext xmlns:c16="http://schemas.microsoft.com/office/drawing/2014/chart" uri="{C3380CC4-5D6E-409C-BE32-E72D297353CC}">
              <c16:uniqueId val="{00000000-51D4-4AD9-8C47-172AF7366C1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applications'!$K$130:$U$130</c:f>
              <c:numCache>
                <c:formatCode>#,##0</c:formatCode>
                <c:ptCount val="11"/>
                <c:pt idx="0">
                  <c:v>2118702</c:v>
                </c:pt>
                <c:pt idx="1">
                  <c:v>2323237</c:v>
                </c:pt>
                <c:pt idx="2">
                  <c:v>2549961</c:v>
                </c:pt>
                <c:pt idx="3">
                  <c:v>2665859</c:v>
                </c:pt>
                <c:pt idx="4">
                  <c:v>2862057</c:v>
                </c:pt>
                <c:pt idx="5">
                  <c:v>3112225</c:v>
                </c:pt>
                <c:pt idx="6">
                  <c:v>3156036</c:v>
                </c:pt>
                <c:pt idx="7">
                  <c:v>3322116</c:v>
                </c:pt>
                <c:pt idx="8">
                  <c:v>3218500</c:v>
                </c:pt>
                <c:pt idx="9">
                  <c:v>3278756</c:v>
                </c:pt>
                <c:pt idx="10">
                  <c:v>3386931</c:v>
                </c:pt>
              </c:numCache>
            </c:numRef>
          </c:val>
          <c:extLst>
            <c:ext xmlns:c16="http://schemas.microsoft.com/office/drawing/2014/chart" uri="{C3380CC4-5D6E-409C-BE32-E72D297353CC}">
              <c16:uniqueId val="{00000006-51D4-4AD9-8C47-172AF7366C14}"/>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057246116981978"/>
          <c:y val="0.23495257336019404"/>
          <c:w val="0.12801933705172844"/>
          <c:h val="0.5849130481777734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Fig.3.7: WORLDWIDE PATENT APPLICATIONS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Patent applications'!$B$138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applications'!$D$138:$U$138</c:f>
              <c:numCache>
                <c:formatCode>#,##0</c:formatCode>
                <c:ptCount val="18"/>
                <c:pt idx="0">
                  <c:v>173904</c:v>
                </c:pt>
                <c:pt idx="1">
                  <c:v>190721</c:v>
                </c:pt>
                <c:pt idx="2">
                  <c:v>227270</c:v>
                </c:pt>
                <c:pt idx="3">
                  <c:v>184518</c:v>
                </c:pt>
                <c:pt idx="4">
                  <c:v>248996</c:v>
                </c:pt>
                <c:pt idx="5">
                  <c:v>200895</c:v>
                </c:pt>
                <c:pt idx="6">
                  <c:v>234289</c:v>
                </c:pt>
                <c:pt idx="7">
                  <c:v>282566</c:v>
                </c:pt>
                <c:pt idx="8">
                  <c:v>304881</c:v>
                </c:pt>
                <c:pt idx="9">
                  <c:v>325671</c:v>
                </c:pt>
                <c:pt idx="10">
                  <c:v>321629</c:v>
                </c:pt>
                <c:pt idx="11">
                  <c:v>327499</c:v>
                </c:pt>
                <c:pt idx="12">
                  <c:v>329483</c:v>
                </c:pt>
                <c:pt idx="13">
                  <c:v>325659</c:v>
                </c:pt>
                <c:pt idx="14">
                  <c:v>336140</c:v>
                </c:pt>
                <c:pt idx="15">
                  <c:v>341164</c:v>
                </c:pt>
                <c:pt idx="16">
                  <c:v>345486</c:v>
                </c:pt>
                <c:pt idx="17">
                  <c:v>355298</c:v>
                </c:pt>
              </c:numCache>
            </c:numRef>
          </c:val>
          <c:extLst>
            <c:ext xmlns:c16="http://schemas.microsoft.com/office/drawing/2014/chart" uri="{C3380CC4-5D6E-409C-BE32-E72D297353CC}">
              <c16:uniqueId val="{00000005-C7EA-4204-AE48-6BEF9394FE32}"/>
            </c:ext>
          </c:extLst>
        </c:ser>
        <c:ser>
          <c:idx val="4"/>
          <c:order val="1"/>
          <c:tx>
            <c:strRef>
              <c:f>'Ch3. Patent applications'!$B$137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applications'!$D$137:$U$137</c:f>
              <c:numCache>
                <c:formatCode>#,##0</c:formatCode>
                <c:ptCount val="18"/>
                <c:pt idx="0">
                  <c:v>356943</c:v>
                </c:pt>
                <c:pt idx="1">
                  <c:v>390733</c:v>
                </c:pt>
                <c:pt idx="2">
                  <c:v>425967</c:v>
                </c:pt>
                <c:pt idx="3">
                  <c:v>456154</c:v>
                </c:pt>
                <c:pt idx="4">
                  <c:v>456321</c:v>
                </c:pt>
                <c:pt idx="5">
                  <c:v>456106</c:v>
                </c:pt>
                <c:pt idx="6">
                  <c:v>490226</c:v>
                </c:pt>
                <c:pt idx="7">
                  <c:v>503582</c:v>
                </c:pt>
                <c:pt idx="8">
                  <c:v>542815</c:v>
                </c:pt>
                <c:pt idx="9">
                  <c:v>571612</c:v>
                </c:pt>
                <c:pt idx="10">
                  <c:v>578802</c:v>
                </c:pt>
                <c:pt idx="11">
                  <c:v>589410</c:v>
                </c:pt>
                <c:pt idx="12">
                  <c:v>605571</c:v>
                </c:pt>
                <c:pt idx="13">
                  <c:v>606956</c:v>
                </c:pt>
                <c:pt idx="14">
                  <c:v>597141</c:v>
                </c:pt>
                <c:pt idx="15">
                  <c:v>621453</c:v>
                </c:pt>
                <c:pt idx="16">
                  <c:v>597172</c:v>
                </c:pt>
                <c:pt idx="17">
                  <c:v>591473</c:v>
                </c:pt>
              </c:numCache>
            </c:numRef>
          </c:val>
          <c:extLst>
            <c:ext xmlns:c16="http://schemas.microsoft.com/office/drawing/2014/chart" uri="{C3380CC4-5D6E-409C-BE32-E72D297353CC}">
              <c16:uniqueId val="{00000004-C7EA-4204-AE48-6BEF9394FE32}"/>
            </c:ext>
          </c:extLst>
        </c:ser>
        <c:ser>
          <c:idx val="3"/>
          <c:order val="2"/>
          <c:tx>
            <c:strRef>
              <c:f>'Ch3. Patent applications'!$B$136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applications'!$D$136:$U$136</c:f>
              <c:numCache>
                <c:formatCode>#,##0</c:formatCode>
                <c:ptCount val="18"/>
                <c:pt idx="0">
                  <c:v>130384</c:v>
                </c:pt>
                <c:pt idx="1">
                  <c:v>173327</c:v>
                </c:pt>
                <c:pt idx="2">
                  <c:v>210501</c:v>
                </c:pt>
                <c:pt idx="3">
                  <c:v>245161</c:v>
                </c:pt>
                <c:pt idx="4">
                  <c:v>289838</c:v>
                </c:pt>
                <c:pt idx="5">
                  <c:v>314604</c:v>
                </c:pt>
                <c:pt idx="6">
                  <c:v>391178</c:v>
                </c:pt>
                <c:pt idx="7">
                  <c:v>526412</c:v>
                </c:pt>
                <c:pt idx="8">
                  <c:v>652777</c:v>
                </c:pt>
                <c:pt idx="9">
                  <c:v>825136</c:v>
                </c:pt>
                <c:pt idx="10">
                  <c:v>928177</c:v>
                </c:pt>
                <c:pt idx="11">
                  <c:v>1101864</c:v>
                </c:pt>
                <c:pt idx="12">
                  <c:v>1338503</c:v>
                </c:pt>
                <c:pt idx="13">
                  <c:v>1381594</c:v>
                </c:pt>
                <c:pt idx="14">
                  <c:v>1542002</c:v>
                </c:pt>
                <c:pt idx="15">
                  <c:v>1400661</c:v>
                </c:pt>
                <c:pt idx="16">
                  <c:v>1497159</c:v>
                </c:pt>
                <c:pt idx="17">
                  <c:v>1585663</c:v>
                </c:pt>
              </c:numCache>
            </c:numRef>
          </c:val>
          <c:extLst>
            <c:ext xmlns:c16="http://schemas.microsoft.com/office/drawing/2014/chart" uri="{C3380CC4-5D6E-409C-BE32-E72D297353CC}">
              <c16:uniqueId val="{00000003-C7EA-4204-AE48-6BEF9394FE32}"/>
            </c:ext>
          </c:extLst>
        </c:ser>
        <c:ser>
          <c:idx val="2"/>
          <c:order val="3"/>
          <c:tx>
            <c:strRef>
              <c:f>'Ch3. Patent applications'!$B$135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applications'!$D$135:$U$135</c:f>
              <c:numCache>
                <c:formatCode>#,##0</c:formatCode>
                <c:ptCount val="18"/>
                <c:pt idx="0">
                  <c:v>140115</c:v>
                </c:pt>
                <c:pt idx="1">
                  <c:v>160921</c:v>
                </c:pt>
                <c:pt idx="2">
                  <c:v>166189</c:v>
                </c:pt>
                <c:pt idx="3">
                  <c:v>172469</c:v>
                </c:pt>
                <c:pt idx="4">
                  <c:v>170632</c:v>
                </c:pt>
                <c:pt idx="5">
                  <c:v>163523</c:v>
                </c:pt>
                <c:pt idx="6">
                  <c:v>170101</c:v>
                </c:pt>
                <c:pt idx="7">
                  <c:v>178924</c:v>
                </c:pt>
                <c:pt idx="8">
                  <c:v>188915</c:v>
                </c:pt>
                <c:pt idx="9">
                  <c:v>204589</c:v>
                </c:pt>
                <c:pt idx="10">
                  <c:v>210292</c:v>
                </c:pt>
                <c:pt idx="11">
                  <c:v>213694</c:v>
                </c:pt>
                <c:pt idx="12">
                  <c:v>208830</c:v>
                </c:pt>
                <c:pt idx="13">
                  <c:v>204775</c:v>
                </c:pt>
                <c:pt idx="14">
                  <c:v>209992</c:v>
                </c:pt>
                <c:pt idx="15">
                  <c:v>218975</c:v>
                </c:pt>
                <c:pt idx="16">
                  <c:v>226759</c:v>
                </c:pt>
                <c:pt idx="17">
                  <c:v>237998</c:v>
                </c:pt>
              </c:numCache>
            </c:numRef>
          </c:val>
          <c:extLst>
            <c:ext xmlns:c16="http://schemas.microsoft.com/office/drawing/2014/chart" uri="{C3380CC4-5D6E-409C-BE32-E72D297353CC}">
              <c16:uniqueId val="{00000002-C7EA-4204-AE48-6BEF9394FE32}"/>
            </c:ext>
          </c:extLst>
        </c:ser>
        <c:ser>
          <c:idx val="1"/>
          <c:order val="4"/>
          <c:tx>
            <c:strRef>
              <c:f>'Ch3. Patent applications'!$B$134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applications'!$D$134:$U$134</c:f>
              <c:numCache>
                <c:formatCode>#,##0</c:formatCode>
                <c:ptCount val="18"/>
                <c:pt idx="0">
                  <c:v>423081</c:v>
                </c:pt>
                <c:pt idx="1">
                  <c:v>427078</c:v>
                </c:pt>
                <c:pt idx="2">
                  <c:v>408674</c:v>
                </c:pt>
                <c:pt idx="3">
                  <c:v>396291</c:v>
                </c:pt>
                <c:pt idx="4">
                  <c:v>391002</c:v>
                </c:pt>
                <c:pt idx="5">
                  <c:v>348596</c:v>
                </c:pt>
                <c:pt idx="6">
                  <c:v>344598</c:v>
                </c:pt>
                <c:pt idx="7">
                  <c:v>342610</c:v>
                </c:pt>
                <c:pt idx="8">
                  <c:v>342796</c:v>
                </c:pt>
                <c:pt idx="9">
                  <c:v>328436</c:v>
                </c:pt>
                <c:pt idx="10">
                  <c:v>325989</c:v>
                </c:pt>
                <c:pt idx="11">
                  <c:v>318721</c:v>
                </c:pt>
                <c:pt idx="12">
                  <c:v>318381</c:v>
                </c:pt>
                <c:pt idx="13">
                  <c:v>318479</c:v>
                </c:pt>
                <c:pt idx="14">
                  <c:v>313567</c:v>
                </c:pt>
                <c:pt idx="15">
                  <c:v>307969</c:v>
                </c:pt>
                <c:pt idx="16">
                  <c:v>288472</c:v>
                </c:pt>
                <c:pt idx="17">
                  <c:v>289200</c:v>
                </c:pt>
              </c:numCache>
            </c:numRef>
          </c:val>
          <c:extLst>
            <c:ext xmlns:c16="http://schemas.microsoft.com/office/drawing/2014/chart" uri="{C3380CC4-5D6E-409C-BE32-E72D297353CC}">
              <c16:uniqueId val="{00000001-C7EA-4204-AE48-6BEF9394FE32}"/>
            </c:ext>
          </c:extLst>
        </c:ser>
        <c:ser>
          <c:idx val="0"/>
          <c:order val="5"/>
          <c:tx>
            <c:strRef>
              <c:f>'Ch3. Patent applications'!$B$133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applications'!$D$133:$U$133</c:f>
              <c:numCache>
                <c:formatCode>#,##0</c:formatCode>
                <c:ptCount val="18"/>
                <c:pt idx="0">
                  <c:v>283030</c:v>
                </c:pt>
                <c:pt idx="1">
                  <c:v>284595</c:v>
                </c:pt>
                <c:pt idx="2">
                  <c:v>287014</c:v>
                </c:pt>
                <c:pt idx="3">
                  <c:v>296238</c:v>
                </c:pt>
                <c:pt idx="4">
                  <c:v>290790</c:v>
                </c:pt>
                <c:pt idx="5">
                  <c:v>278790</c:v>
                </c:pt>
                <c:pt idx="6">
                  <c:v>277205</c:v>
                </c:pt>
                <c:pt idx="7">
                  <c:v>284608</c:v>
                </c:pt>
                <c:pt idx="8">
                  <c:v>294599</c:v>
                </c:pt>
                <c:pt idx="9">
                  <c:v>294517</c:v>
                </c:pt>
                <c:pt idx="10">
                  <c:v>300970</c:v>
                </c:pt>
                <c:pt idx="11">
                  <c:v>310869</c:v>
                </c:pt>
                <c:pt idx="12">
                  <c:v>311457</c:v>
                </c:pt>
                <c:pt idx="13">
                  <c:v>318573</c:v>
                </c:pt>
                <c:pt idx="14">
                  <c:v>323274</c:v>
                </c:pt>
                <c:pt idx="15">
                  <c:v>328278</c:v>
                </c:pt>
                <c:pt idx="16">
                  <c:v>323708</c:v>
                </c:pt>
                <c:pt idx="17">
                  <c:v>327299</c:v>
                </c:pt>
              </c:numCache>
            </c:numRef>
          </c:val>
          <c:extLst>
            <c:ext xmlns:c16="http://schemas.microsoft.com/office/drawing/2014/chart" uri="{C3380CC4-5D6E-409C-BE32-E72D297353CC}">
              <c16:uniqueId val="{00000000-C7EA-4204-AE48-6BEF9394FE32}"/>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Patent applications'!$D$139:$U$139</c:f>
              <c:numCache>
                <c:formatCode>#,##0</c:formatCode>
                <c:ptCount val="18"/>
                <c:pt idx="0">
                  <c:v>1507457</c:v>
                </c:pt>
                <c:pt idx="1">
                  <c:v>1627375</c:v>
                </c:pt>
                <c:pt idx="2">
                  <c:v>1725615</c:v>
                </c:pt>
                <c:pt idx="3">
                  <c:v>1750831</c:v>
                </c:pt>
                <c:pt idx="4">
                  <c:v>1847579</c:v>
                </c:pt>
                <c:pt idx="5">
                  <c:v>1762514</c:v>
                </c:pt>
                <c:pt idx="6">
                  <c:v>1907597</c:v>
                </c:pt>
                <c:pt idx="7">
                  <c:v>2118702</c:v>
                </c:pt>
                <c:pt idx="8">
                  <c:v>2326783</c:v>
                </c:pt>
                <c:pt idx="9">
                  <c:v>2549961</c:v>
                </c:pt>
                <c:pt idx="10">
                  <c:v>2665859</c:v>
                </c:pt>
                <c:pt idx="11">
                  <c:v>2862057</c:v>
                </c:pt>
                <c:pt idx="12">
                  <c:v>3112225</c:v>
                </c:pt>
                <c:pt idx="13">
                  <c:v>3156036</c:v>
                </c:pt>
                <c:pt idx="14">
                  <c:v>3322116</c:v>
                </c:pt>
                <c:pt idx="15">
                  <c:v>3218500</c:v>
                </c:pt>
                <c:pt idx="16">
                  <c:v>3278756</c:v>
                </c:pt>
                <c:pt idx="17">
                  <c:v>3386931</c:v>
                </c:pt>
              </c:numCache>
            </c:numRef>
          </c:val>
          <c:extLst>
            <c:ext xmlns:c16="http://schemas.microsoft.com/office/drawing/2014/chart" uri="{C3380CC4-5D6E-409C-BE32-E72D297353CC}">
              <c16:uniqueId val="{00000006-C7EA-4204-AE48-6BEF9394FE32}"/>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Fig.3.7: WORLDWIDE PATENT APPLICATIONS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42E-2"/>
          <c:y val="0.11239396621187454"/>
          <c:w val="0.83585469064984086"/>
          <c:h val="0.8060502997018133"/>
        </c:manualLayout>
      </c:layout>
      <c:barChart>
        <c:barDir val="col"/>
        <c:grouping val="stacked"/>
        <c:varyColors val="0"/>
        <c:ser>
          <c:idx val="5"/>
          <c:order val="0"/>
          <c:tx>
            <c:strRef>
              <c:f>'Ch3. Patent applications'!$B$138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applications'!$K$138:$U$138</c:f>
              <c:numCache>
                <c:formatCode>#,##0</c:formatCode>
                <c:ptCount val="11"/>
                <c:pt idx="0">
                  <c:v>282566</c:v>
                </c:pt>
                <c:pt idx="1">
                  <c:v>304881</c:v>
                </c:pt>
                <c:pt idx="2">
                  <c:v>325671</c:v>
                </c:pt>
                <c:pt idx="3">
                  <c:v>321629</c:v>
                </c:pt>
                <c:pt idx="4">
                  <c:v>327499</c:v>
                </c:pt>
                <c:pt idx="5">
                  <c:v>329483</c:v>
                </c:pt>
                <c:pt idx="6">
                  <c:v>325659</c:v>
                </c:pt>
                <c:pt idx="7">
                  <c:v>336140</c:v>
                </c:pt>
                <c:pt idx="8">
                  <c:v>341164</c:v>
                </c:pt>
                <c:pt idx="9">
                  <c:v>345486</c:v>
                </c:pt>
                <c:pt idx="10">
                  <c:v>355298</c:v>
                </c:pt>
              </c:numCache>
            </c:numRef>
          </c:val>
          <c:extLst>
            <c:ext xmlns:c16="http://schemas.microsoft.com/office/drawing/2014/chart" uri="{C3380CC4-5D6E-409C-BE32-E72D297353CC}">
              <c16:uniqueId val="{00000005-D674-4C5F-A5B3-F53F7AF05034}"/>
            </c:ext>
          </c:extLst>
        </c:ser>
        <c:ser>
          <c:idx val="4"/>
          <c:order val="1"/>
          <c:tx>
            <c:strRef>
              <c:f>'Ch3. Patent applications'!$B$137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applications'!$K$137:$U$137</c:f>
              <c:numCache>
                <c:formatCode>#,##0</c:formatCode>
                <c:ptCount val="11"/>
                <c:pt idx="0">
                  <c:v>503582</c:v>
                </c:pt>
                <c:pt idx="1">
                  <c:v>542815</c:v>
                </c:pt>
                <c:pt idx="2">
                  <c:v>571612</c:v>
                </c:pt>
                <c:pt idx="3">
                  <c:v>578802</c:v>
                </c:pt>
                <c:pt idx="4">
                  <c:v>589410</c:v>
                </c:pt>
                <c:pt idx="5">
                  <c:v>605571</c:v>
                </c:pt>
                <c:pt idx="6">
                  <c:v>606956</c:v>
                </c:pt>
                <c:pt idx="7">
                  <c:v>597141</c:v>
                </c:pt>
                <c:pt idx="8">
                  <c:v>621453</c:v>
                </c:pt>
                <c:pt idx="9">
                  <c:v>597172</c:v>
                </c:pt>
                <c:pt idx="10">
                  <c:v>591473</c:v>
                </c:pt>
              </c:numCache>
            </c:numRef>
          </c:val>
          <c:extLst>
            <c:ext xmlns:c16="http://schemas.microsoft.com/office/drawing/2014/chart" uri="{C3380CC4-5D6E-409C-BE32-E72D297353CC}">
              <c16:uniqueId val="{00000004-D674-4C5F-A5B3-F53F7AF05034}"/>
            </c:ext>
          </c:extLst>
        </c:ser>
        <c:ser>
          <c:idx val="3"/>
          <c:order val="2"/>
          <c:tx>
            <c:strRef>
              <c:f>'Ch3. Patent applications'!$B$136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applications'!$K$136:$U$136</c:f>
              <c:numCache>
                <c:formatCode>#,##0</c:formatCode>
                <c:ptCount val="11"/>
                <c:pt idx="0">
                  <c:v>526412</c:v>
                </c:pt>
                <c:pt idx="1">
                  <c:v>652777</c:v>
                </c:pt>
                <c:pt idx="2">
                  <c:v>825136</c:v>
                </c:pt>
                <c:pt idx="3">
                  <c:v>928177</c:v>
                </c:pt>
                <c:pt idx="4">
                  <c:v>1101864</c:v>
                </c:pt>
                <c:pt idx="5">
                  <c:v>1338503</c:v>
                </c:pt>
                <c:pt idx="6">
                  <c:v>1381594</c:v>
                </c:pt>
                <c:pt idx="7">
                  <c:v>1542002</c:v>
                </c:pt>
                <c:pt idx="8">
                  <c:v>1400661</c:v>
                </c:pt>
                <c:pt idx="9">
                  <c:v>1497159</c:v>
                </c:pt>
                <c:pt idx="10">
                  <c:v>1585663</c:v>
                </c:pt>
              </c:numCache>
            </c:numRef>
          </c:val>
          <c:extLst>
            <c:ext xmlns:c16="http://schemas.microsoft.com/office/drawing/2014/chart" uri="{C3380CC4-5D6E-409C-BE32-E72D297353CC}">
              <c16:uniqueId val="{00000003-D674-4C5F-A5B3-F53F7AF05034}"/>
            </c:ext>
          </c:extLst>
        </c:ser>
        <c:ser>
          <c:idx val="2"/>
          <c:order val="3"/>
          <c:tx>
            <c:strRef>
              <c:f>'Ch3. Patent applications'!$B$135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applications'!$K$135:$U$135</c:f>
              <c:numCache>
                <c:formatCode>#,##0</c:formatCode>
                <c:ptCount val="11"/>
                <c:pt idx="0">
                  <c:v>178924</c:v>
                </c:pt>
                <c:pt idx="1">
                  <c:v>188915</c:v>
                </c:pt>
                <c:pt idx="2">
                  <c:v>204589</c:v>
                </c:pt>
                <c:pt idx="3">
                  <c:v>210292</c:v>
                </c:pt>
                <c:pt idx="4">
                  <c:v>213694</c:v>
                </c:pt>
                <c:pt idx="5">
                  <c:v>208830</c:v>
                </c:pt>
                <c:pt idx="6">
                  <c:v>204775</c:v>
                </c:pt>
                <c:pt idx="7">
                  <c:v>209992</c:v>
                </c:pt>
                <c:pt idx="8">
                  <c:v>218975</c:v>
                </c:pt>
                <c:pt idx="9">
                  <c:v>226759</c:v>
                </c:pt>
                <c:pt idx="10">
                  <c:v>237998</c:v>
                </c:pt>
              </c:numCache>
            </c:numRef>
          </c:val>
          <c:extLst>
            <c:ext xmlns:c16="http://schemas.microsoft.com/office/drawing/2014/chart" uri="{C3380CC4-5D6E-409C-BE32-E72D297353CC}">
              <c16:uniqueId val="{00000002-D674-4C5F-A5B3-F53F7AF05034}"/>
            </c:ext>
          </c:extLst>
        </c:ser>
        <c:ser>
          <c:idx val="1"/>
          <c:order val="4"/>
          <c:tx>
            <c:strRef>
              <c:f>'Ch3. Patent applications'!$B$134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applications'!$K$134:$U$134</c:f>
              <c:numCache>
                <c:formatCode>#,##0</c:formatCode>
                <c:ptCount val="11"/>
                <c:pt idx="0">
                  <c:v>342610</c:v>
                </c:pt>
                <c:pt idx="1">
                  <c:v>342796</c:v>
                </c:pt>
                <c:pt idx="2">
                  <c:v>328436</c:v>
                </c:pt>
                <c:pt idx="3">
                  <c:v>325989</c:v>
                </c:pt>
                <c:pt idx="4">
                  <c:v>318721</c:v>
                </c:pt>
                <c:pt idx="5">
                  <c:v>318381</c:v>
                </c:pt>
                <c:pt idx="6">
                  <c:v>318479</c:v>
                </c:pt>
                <c:pt idx="7">
                  <c:v>313567</c:v>
                </c:pt>
                <c:pt idx="8">
                  <c:v>307969</c:v>
                </c:pt>
                <c:pt idx="9">
                  <c:v>288472</c:v>
                </c:pt>
                <c:pt idx="10">
                  <c:v>289200</c:v>
                </c:pt>
              </c:numCache>
            </c:numRef>
          </c:val>
          <c:extLst>
            <c:ext xmlns:c16="http://schemas.microsoft.com/office/drawing/2014/chart" uri="{C3380CC4-5D6E-409C-BE32-E72D297353CC}">
              <c16:uniqueId val="{00000001-D674-4C5F-A5B3-F53F7AF05034}"/>
            </c:ext>
          </c:extLst>
        </c:ser>
        <c:ser>
          <c:idx val="0"/>
          <c:order val="5"/>
          <c:tx>
            <c:strRef>
              <c:f>'Ch3. Patent applications'!$B$133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applications'!$K$133:$U$133</c:f>
              <c:numCache>
                <c:formatCode>#,##0</c:formatCode>
                <c:ptCount val="11"/>
                <c:pt idx="0">
                  <c:v>284608</c:v>
                </c:pt>
                <c:pt idx="1">
                  <c:v>294599</c:v>
                </c:pt>
                <c:pt idx="2">
                  <c:v>294517</c:v>
                </c:pt>
                <c:pt idx="3">
                  <c:v>300970</c:v>
                </c:pt>
                <c:pt idx="4">
                  <c:v>310869</c:v>
                </c:pt>
                <c:pt idx="5">
                  <c:v>311457</c:v>
                </c:pt>
                <c:pt idx="6">
                  <c:v>318573</c:v>
                </c:pt>
                <c:pt idx="7">
                  <c:v>323274</c:v>
                </c:pt>
                <c:pt idx="8">
                  <c:v>328278</c:v>
                </c:pt>
                <c:pt idx="9">
                  <c:v>323708</c:v>
                </c:pt>
                <c:pt idx="10">
                  <c:v>327299</c:v>
                </c:pt>
              </c:numCache>
            </c:numRef>
          </c:val>
          <c:extLst>
            <c:ext xmlns:c16="http://schemas.microsoft.com/office/drawing/2014/chart" uri="{C3380CC4-5D6E-409C-BE32-E72D297353CC}">
              <c16:uniqueId val="{00000000-D674-4C5F-A5B3-F53F7AF0503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Patent applications'!$K$139:$U$139</c:f>
              <c:numCache>
                <c:formatCode>#,##0</c:formatCode>
                <c:ptCount val="11"/>
                <c:pt idx="0">
                  <c:v>2118702</c:v>
                </c:pt>
                <c:pt idx="1">
                  <c:v>2326783</c:v>
                </c:pt>
                <c:pt idx="2">
                  <c:v>2549961</c:v>
                </c:pt>
                <c:pt idx="3">
                  <c:v>2665859</c:v>
                </c:pt>
                <c:pt idx="4">
                  <c:v>2862057</c:v>
                </c:pt>
                <c:pt idx="5">
                  <c:v>3112225</c:v>
                </c:pt>
                <c:pt idx="6">
                  <c:v>3156036</c:v>
                </c:pt>
                <c:pt idx="7">
                  <c:v>3322116</c:v>
                </c:pt>
                <c:pt idx="8">
                  <c:v>3218500</c:v>
                </c:pt>
                <c:pt idx="9">
                  <c:v>3278756</c:v>
                </c:pt>
                <c:pt idx="10">
                  <c:v>3386931</c:v>
                </c:pt>
              </c:numCache>
            </c:numRef>
          </c:val>
          <c:extLst>
            <c:ext xmlns:c16="http://schemas.microsoft.com/office/drawing/2014/chart" uri="{C3380CC4-5D6E-409C-BE32-E72D297353CC}">
              <c16:uniqueId val="{00000006-D674-4C5F-A5B3-F53F7AF05034}"/>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500000"/>
        </c:scaling>
        <c:delete val="1"/>
        <c:axPos val="l"/>
        <c:numFmt formatCode="#,##0" sourceLinked="1"/>
        <c:majorTickMark val="none"/>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247382813289508"/>
          <c:y val="0.24707378837360736"/>
          <c:w val="0.13372343794095432"/>
          <c:h val="0.5758221369177134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2019</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97B9-4C9C-B146-578DF7580785}"/>
              </c:ext>
            </c:extLst>
          </c:dPt>
          <c:dPt>
            <c:idx val="1"/>
            <c:bubble3D val="0"/>
            <c:spPr>
              <a:solidFill>
                <a:srgbClr val="FF0000"/>
              </a:solidFill>
              <a:ln>
                <a:solidFill>
                  <a:schemeClr val="bg1"/>
                </a:solidFill>
              </a:ln>
            </c:spPr>
            <c:extLst>
              <c:ext xmlns:c16="http://schemas.microsoft.com/office/drawing/2014/chart" uri="{C3380CC4-5D6E-409C-BE32-E72D297353CC}">
                <c16:uniqueId val="{00000003-97B9-4C9C-B146-578DF7580785}"/>
              </c:ext>
            </c:extLst>
          </c:dPt>
          <c:dPt>
            <c:idx val="2"/>
            <c:bubble3D val="0"/>
            <c:spPr>
              <a:solidFill>
                <a:srgbClr val="7030A0"/>
              </a:solidFill>
              <a:ln>
                <a:solidFill>
                  <a:schemeClr val="bg1"/>
                </a:solidFill>
              </a:ln>
            </c:spPr>
            <c:extLst>
              <c:ext xmlns:c16="http://schemas.microsoft.com/office/drawing/2014/chart" uri="{C3380CC4-5D6E-409C-BE32-E72D297353CC}">
                <c16:uniqueId val="{00000005-97B9-4C9C-B146-578DF7580785}"/>
              </c:ext>
            </c:extLst>
          </c:dPt>
          <c:dPt>
            <c:idx val="3"/>
            <c:bubble3D val="0"/>
            <c:spPr>
              <a:solidFill>
                <a:srgbClr val="FFC000"/>
              </a:solidFill>
              <a:ln>
                <a:solidFill>
                  <a:schemeClr val="bg1"/>
                </a:solidFill>
              </a:ln>
            </c:spPr>
            <c:extLst>
              <c:ext xmlns:c16="http://schemas.microsoft.com/office/drawing/2014/chart" uri="{C3380CC4-5D6E-409C-BE32-E72D297353CC}">
                <c16:uniqueId val="{00000007-97B9-4C9C-B146-578DF7580785}"/>
              </c:ext>
            </c:extLst>
          </c:dPt>
          <c:dPt>
            <c:idx val="4"/>
            <c:bubble3D val="0"/>
            <c:spPr>
              <a:solidFill>
                <a:srgbClr val="008000"/>
              </a:solidFill>
              <a:ln>
                <a:solidFill>
                  <a:schemeClr val="bg1"/>
                </a:solidFill>
              </a:ln>
            </c:spPr>
            <c:extLst>
              <c:ext xmlns:c16="http://schemas.microsoft.com/office/drawing/2014/chart" uri="{C3380CC4-5D6E-409C-BE32-E72D297353CC}">
                <c16:uniqueId val="{00000009-97B9-4C9C-B146-578DF7580785}"/>
              </c:ext>
            </c:extLst>
          </c:dPt>
          <c:dPt>
            <c:idx val="5"/>
            <c:bubble3D val="0"/>
            <c:spPr>
              <a:solidFill>
                <a:schemeClr val="accent2"/>
              </a:solidFill>
              <a:ln>
                <a:solidFill>
                  <a:schemeClr val="bg1"/>
                </a:solidFill>
              </a:ln>
            </c:spPr>
            <c:extLst>
              <c:ext xmlns:c16="http://schemas.microsoft.com/office/drawing/2014/chart" uri="{C3380CC4-5D6E-409C-BE32-E72D297353CC}">
                <c16:uniqueId val="{0000000B-97B9-4C9C-B146-578DF7580785}"/>
              </c:ext>
            </c:extLst>
          </c:dPt>
          <c:dLbls>
            <c:dLbl>
              <c:idx val="0"/>
              <c:layout>
                <c:manualLayout>
                  <c:x val="-0.20162602401972482"/>
                  <c:y val="0.1969363618172836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531313131313133"/>
                      <c:h val="0.28706765691402547"/>
                    </c:manualLayout>
                  </c15:layout>
                </c:ext>
                <c:ext xmlns:c16="http://schemas.microsoft.com/office/drawing/2014/chart" uri="{C3380CC4-5D6E-409C-BE32-E72D297353CC}">
                  <c16:uniqueId val="{00000001-97B9-4C9C-B146-578DF7580785}"/>
                </c:ext>
              </c:extLst>
            </c:dLbl>
            <c:dLbl>
              <c:idx val="1"/>
              <c:layout>
                <c:manualLayout>
                  <c:x val="-0.1904905750417562"/>
                  <c:y val="-0.12557568680446746"/>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94343434343434"/>
                      <c:h val="0.23210944405079867"/>
                    </c:manualLayout>
                  </c15:layout>
                </c:ext>
                <c:ext xmlns:c16="http://schemas.microsoft.com/office/drawing/2014/chart" uri="{C3380CC4-5D6E-409C-BE32-E72D297353CC}">
                  <c16:uniqueId val="{00000003-97B9-4C9C-B146-578DF7580785}"/>
                </c:ext>
              </c:extLst>
            </c:dLbl>
            <c:dLbl>
              <c:idx val="2"/>
              <c:layout>
                <c:manualLayout>
                  <c:x val="-4.3803388212837031E-2"/>
                  <c:y val="-3.651206859940833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204040404040405"/>
                      <c:h val="0.23210944405079867"/>
                    </c:manualLayout>
                  </c15:layout>
                </c:ext>
                <c:ext xmlns:c16="http://schemas.microsoft.com/office/drawing/2014/chart" uri="{C3380CC4-5D6E-409C-BE32-E72D297353CC}">
                  <c16:uniqueId val="{00000005-97B9-4C9C-B146-578DF7580785}"/>
                </c:ext>
              </c:extLst>
            </c:dLbl>
            <c:dLbl>
              <c:idx val="3"/>
              <c:layout>
                <c:manualLayout>
                  <c:x val="0.12353662610355524"/>
                  <c:y val="-9.7846859657280072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8589898989898987"/>
                      <c:h val="0.28706765691402547"/>
                    </c:manualLayout>
                  </c15:layout>
                </c:ext>
                <c:ext xmlns:c16="http://schemas.microsoft.com/office/drawing/2014/chart" uri="{C3380CC4-5D6E-409C-BE32-E72D297353CC}">
                  <c16:uniqueId val="{00000007-97B9-4C9C-B146-578DF7580785}"/>
                </c:ext>
              </c:extLst>
            </c:dLbl>
            <c:dLbl>
              <c:idx val="5"/>
              <c:layout>
                <c:manualLayout>
                  <c:x val="0.14263485246162411"/>
                  <c:y val="0.11454415336138583"/>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050505050505051"/>
                      <c:h val="0.23210944405079867"/>
                    </c:manualLayout>
                  </c15:layout>
                </c:ext>
                <c:ext xmlns:c16="http://schemas.microsoft.com/office/drawing/2014/chart" uri="{C3380CC4-5D6E-409C-BE32-E72D297353CC}">
                  <c16:uniqueId val="{0000000B-97B9-4C9C-B146-578DF7580785}"/>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Patents-in-Force'!$X$8:$X$13</c:f>
              <c:numCache>
                <c:formatCode>#,##0</c:formatCode>
                <c:ptCount val="6"/>
                <c:pt idx="0">
                  <c:v>4641346</c:v>
                </c:pt>
                <c:pt idx="1">
                  <c:v>2053879</c:v>
                </c:pt>
                <c:pt idx="2">
                  <c:v>1048079</c:v>
                </c:pt>
                <c:pt idx="3">
                  <c:v>2670784</c:v>
                </c:pt>
                <c:pt idx="4">
                  <c:v>3131427</c:v>
                </c:pt>
                <c:pt idx="5">
                  <c:v>1340117</c:v>
                </c:pt>
              </c:numCache>
            </c:numRef>
          </c:val>
          <c:extLst>
            <c:ext xmlns:c16="http://schemas.microsoft.com/office/drawing/2014/chart" uri="{C3380CC4-5D6E-409C-BE32-E72D297353CC}">
              <c16:uniqueId val="{0000000C-97B9-4C9C-B146-578DF7580785}"/>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97B9-4C9C-B146-578DF758078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97B9-4C9C-B146-578DF758078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97B9-4C9C-B146-578DF758078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97B9-4C9C-B146-578DF758078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97B9-4C9C-B146-578DF758078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97B9-4C9C-B146-578DF7580785}"/>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97B9-4C9C-B146-578DF758078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Fig.3.8: WORLDWIDE DEMAND FOR PATENT RIGHTS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291516240870872E-2"/>
          <c:y val="0.11239396621187454"/>
          <c:w val="0.97141696751825823"/>
          <c:h val="0.82850437330097193"/>
        </c:manualLayout>
      </c:layout>
      <c:barChart>
        <c:barDir val="col"/>
        <c:grouping val="stacked"/>
        <c:varyColors val="0"/>
        <c:ser>
          <c:idx val="0"/>
          <c:order val="0"/>
          <c:tx>
            <c:strRef>
              <c:f>'Ch3. Demand for patent rights'!$B$118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rights'!$D$118:$U$118</c:f>
              <c:numCache>
                <c:formatCode>#,##0</c:formatCode>
                <c:ptCount val="18"/>
                <c:pt idx="0">
                  <c:v>1149981</c:v>
                </c:pt>
                <c:pt idx="1">
                  <c:v>1237028</c:v>
                </c:pt>
                <c:pt idx="2">
                  <c:v>1282384</c:v>
                </c:pt>
                <c:pt idx="3">
                  <c:v>1307377</c:v>
                </c:pt>
                <c:pt idx="4">
                  <c:v>1382985</c:v>
                </c:pt>
                <c:pt idx="5">
                  <c:v>1331777</c:v>
                </c:pt>
                <c:pt idx="6">
                  <c:v>1389232</c:v>
                </c:pt>
                <c:pt idx="7">
                  <c:v>1555711</c:v>
                </c:pt>
                <c:pt idx="8">
                  <c:v>1728578</c:v>
                </c:pt>
                <c:pt idx="9">
                  <c:v>1921441</c:v>
                </c:pt>
                <c:pt idx="10">
                  <c:v>2008933</c:v>
                </c:pt>
                <c:pt idx="11">
                  <c:v>2188932</c:v>
                </c:pt>
                <c:pt idx="12">
                  <c:v>2436257</c:v>
                </c:pt>
                <c:pt idx="13">
                  <c:v>2456411</c:v>
                </c:pt>
                <c:pt idx="14">
                  <c:v>2600036</c:v>
                </c:pt>
                <c:pt idx="15">
                  <c:v>2465543</c:v>
                </c:pt>
                <c:pt idx="16">
                  <c:v>2538782</c:v>
                </c:pt>
                <c:pt idx="17">
                  <c:v>2592580</c:v>
                </c:pt>
              </c:numCache>
            </c:numRef>
          </c:val>
          <c:extLst>
            <c:ext xmlns:c16="http://schemas.microsoft.com/office/drawing/2014/chart" uri="{C3380CC4-5D6E-409C-BE32-E72D297353CC}">
              <c16:uniqueId val="{00000000-7BD0-4B3F-86C9-E92B79BFEFEA}"/>
            </c:ext>
          </c:extLst>
        </c:ser>
        <c:ser>
          <c:idx val="1"/>
          <c:order val="1"/>
          <c:tx>
            <c:strRef>
              <c:f>'Ch3. Demand for patent rights'!$B$119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rights'!$D$119:$U$119</c:f>
              <c:numCache>
                <c:formatCode>#,##0</c:formatCode>
                <c:ptCount val="18"/>
                <c:pt idx="0">
                  <c:v>1773822</c:v>
                </c:pt>
                <c:pt idx="1">
                  <c:v>2072805</c:v>
                </c:pt>
                <c:pt idx="2">
                  <c:v>2022731</c:v>
                </c:pt>
                <c:pt idx="3">
                  <c:v>2107125</c:v>
                </c:pt>
                <c:pt idx="4">
                  <c:v>2149428</c:v>
                </c:pt>
                <c:pt idx="5">
                  <c:v>1934661</c:v>
                </c:pt>
                <c:pt idx="6">
                  <c:v>2461004</c:v>
                </c:pt>
                <c:pt idx="7">
                  <c:v>2358797</c:v>
                </c:pt>
                <c:pt idx="8">
                  <c:v>2368478</c:v>
                </c:pt>
                <c:pt idx="9">
                  <c:v>2309520</c:v>
                </c:pt>
                <c:pt idx="10">
                  <c:v>2281077</c:v>
                </c:pt>
                <c:pt idx="11">
                  <c:v>2339557</c:v>
                </c:pt>
                <c:pt idx="12">
                  <c:v>2456492</c:v>
                </c:pt>
                <c:pt idx="13">
                  <c:v>2587653</c:v>
                </c:pt>
                <c:pt idx="14">
                  <c:v>2743126</c:v>
                </c:pt>
                <c:pt idx="15">
                  <c:v>2882282</c:v>
                </c:pt>
                <c:pt idx="16">
                  <c:v>2809184</c:v>
                </c:pt>
                <c:pt idx="17">
                  <c:v>2811808</c:v>
                </c:pt>
              </c:numCache>
            </c:numRef>
          </c:val>
          <c:extLst>
            <c:ext xmlns:c16="http://schemas.microsoft.com/office/drawing/2014/chart" uri="{C3380CC4-5D6E-409C-BE32-E72D297353CC}">
              <c16:uniqueId val="{00000001-7BD0-4B3F-86C9-E92B79BFEFEA}"/>
            </c:ext>
          </c:extLst>
        </c:ser>
        <c:ser>
          <c:idx val="2"/>
          <c:order val="2"/>
          <c:tx>
            <c:strRef>
              <c:f>'Ch3. Demand for patent rights'!$B$120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rights'!$D$120:$U$120</c:f>
              <c:numCache>
                <c:formatCode>#,##0</c:formatCode>
                <c:ptCount val="18"/>
                <c:pt idx="0">
                  <c:v>1705252</c:v>
                </c:pt>
                <c:pt idx="1">
                  <c:v>2008969</c:v>
                </c:pt>
                <c:pt idx="2">
                  <c:v>2358326</c:v>
                </c:pt>
                <c:pt idx="3">
                  <c:v>2577681</c:v>
                </c:pt>
                <c:pt idx="4">
                  <c:v>2838620</c:v>
                </c:pt>
                <c:pt idx="5">
                  <c:v>2815629</c:v>
                </c:pt>
                <c:pt idx="6">
                  <c:v>3149889</c:v>
                </c:pt>
                <c:pt idx="7">
                  <c:v>3328711</c:v>
                </c:pt>
                <c:pt idx="8">
                  <c:v>3592359</c:v>
                </c:pt>
                <c:pt idx="9">
                  <c:v>3744584</c:v>
                </c:pt>
                <c:pt idx="10">
                  <c:v>3974560</c:v>
                </c:pt>
                <c:pt idx="11">
                  <c:v>4194233</c:v>
                </c:pt>
                <c:pt idx="12">
                  <c:v>4054312</c:v>
                </c:pt>
                <c:pt idx="13">
                  <c:v>4214917</c:v>
                </c:pt>
                <c:pt idx="14">
                  <c:v>4372022</c:v>
                </c:pt>
                <c:pt idx="15">
                  <c:v>4526180</c:v>
                </c:pt>
                <c:pt idx="16">
                  <c:v>4554971</c:v>
                </c:pt>
                <c:pt idx="17">
                  <c:v>4907160</c:v>
                </c:pt>
              </c:numCache>
            </c:numRef>
          </c:val>
          <c:extLst>
            <c:ext xmlns:c16="http://schemas.microsoft.com/office/drawing/2014/chart" uri="{C3380CC4-5D6E-409C-BE32-E72D297353CC}">
              <c16:uniqueId val="{00000002-7BD0-4B3F-86C9-E92B79BFEFEA}"/>
            </c:ext>
          </c:extLst>
        </c:ser>
        <c:ser>
          <c:idx val="3"/>
          <c:order val="3"/>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rights'!$D$117:$U$117</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rights'!$D$121:$U$121</c:f>
              <c:numCache>
                <c:formatCode>#,##0</c:formatCode>
                <c:ptCount val="18"/>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10311548</c:v>
                </c:pt>
              </c:numCache>
            </c:numRef>
          </c:val>
          <c:extLst>
            <c:ext xmlns:c16="http://schemas.microsoft.com/office/drawing/2014/chart" uri="{C3380CC4-5D6E-409C-BE32-E72D297353CC}">
              <c16:uniqueId val="{00000003-7BD0-4B3F-86C9-E92B79BFEFEA}"/>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Fig.3.9: WORLDWIDE DEMAND FOR PATENT RIGHTS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Demand for patent rights'!$B$129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rights'!$D$129:$U$129</c:f>
              <c:numCache>
                <c:formatCode>#,##0</c:formatCode>
                <c:ptCount val="18"/>
                <c:pt idx="0">
                  <c:v>295312</c:v>
                </c:pt>
                <c:pt idx="1">
                  <c:v>318587</c:v>
                </c:pt>
                <c:pt idx="2">
                  <c:v>366235</c:v>
                </c:pt>
                <c:pt idx="3">
                  <c:v>361778</c:v>
                </c:pt>
                <c:pt idx="4">
                  <c:v>490671</c:v>
                </c:pt>
                <c:pt idx="5">
                  <c:v>415733</c:v>
                </c:pt>
                <c:pt idx="6">
                  <c:v>454661</c:v>
                </c:pt>
                <c:pt idx="7">
                  <c:v>453469</c:v>
                </c:pt>
                <c:pt idx="8">
                  <c:v>490202</c:v>
                </c:pt>
                <c:pt idx="9">
                  <c:v>483772</c:v>
                </c:pt>
                <c:pt idx="10">
                  <c:v>476631</c:v>
                </c:pt>
                <c:pt idx="11">
                  <c:v>495429</c:v>
                </c:pt>
                <c:pt idx="12">
                  <c:v>515099</c:v>
                </c:pt>
                <c:pt idx="13">
                  <c:v>533370</c:v>
                </c:pt>
                <c:pt idx="14">
                  <c:v>580353</c:v>
                </c:pt>
                <c:pt idx="15">
                  <c:v>611354</c:v>
                </c:pt>
                <c:pt idx="16">
                  <c:v>623491</c:v>
                </c:pt>
                <c:pt idx="17">
                  <c:v>620082</c:v>
                </c:pt>
              </c:numCache>
            </c:numRef>
          </c:val>
          <c:extLst>
            <c:ext xmlns:c16="http://schemas.microsoft.com/office/drawing/2014/chart" uri="{C3380CC4-5D6E-409C-BE32-E72D297353CC}">
              <c16:uniqueId val="{00000005-A47D-40BC-AC24-C87B2BADC3B1}"/>
            </c:ext>
          </c:extLst>
        </c:ser>
        <c:ser>
          <c:idx val="4"/>
          <c:order val="1"/>
          <c:tx>
            <c:strRef>
              <c:f>'Ch3. Demand for patent rights'!$B$128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rights'!$D$128:$U$128</c:f>
              <c:numCache>
                <c:formatCode>#,##0</c:formatCode>
                <c:ptCount val="18"/>
                <c:pt idx="0">
                  <c:v>1098197</c:v>
                </c:pt>
                <c:pt idx="1">
                  <c:v>1254248</c:v>
                </c:pt>
                <c:pt idx="2">
                  <c:v>1364254</c:v>
                </c:pt>
                <c:pt idx="3">
                  <c:v>1449599</c:v>
                </c:pt>
                <c:pt idx="4">
                  <c:v>1507664</c:v>
                </c:pt>
                <c:pt idx="5">
                  <c:v>1391084</c:v>
                </c:pt>
                <c:pt idx="6">
                  <c:v>1679319</c:v>
                </c:pt>
                <c:pt idx="7">
                  <c:v>1653277</c:v>
                </c:pt>
                <c:pt idx="8">
                  <c:v>1709061</c:v>
                </c:pt>
                <c:pt idx="9">
                  <c:v>1718491</c:v>
                </c:pt>
                <c:pt idx="10">
                  <c:v>1829321</c:v>
                </c:pt>
                <c:pt idx="11">
                  <c:v>2063114</c:v>
                </c:pt>
                <c:pt idx="12">
                  <c:v>1961936</c:v>
                </c:pt>
                <c:pt idx="13">
                  <c:v>2057424</c:v>
                </c:pt>
                <c:pt idx="14">
                  <c:v>2094983</c:v>
                </c:pt>
                <c:pt idx="15">
                  <c:v>2191161</c:v>
                </c:pt>
                <c:pt idx="16">
                  <c:v>2098070</c:v>
                </c:pt>
                <c:pt idx="17">
                  <c:v>2203957</c:v>
                </c:pt>
              </c:numCache>
            </c:numRef>
          </c:val>
          <c:extLst>
            <c:ext xmlns:c16="http://schemas.microsoft.com/office/drawing/2014/chart" uri="{C3380CC4-5D6E-409C-BE32-E72D297353CC}">
              <c16:uniqueId val="{00000004-A47D-40BC-AC24-C87B2BADC3B1}"/>
            </c:ext>
          </c:extLst>
        </c:ser>
        <c:ser>
          <c:idx val="3"/>
          <c:order val="2"/>
          <c:tx>
            <c:strRef>
              <c:f>'Ch3. Demand for patent rights'!$B$127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rights'!$D$127:$U$127</c:f>
              <c:numCache>
                <c:formatCode>#,##0</c:formatCode>
                <c:ptCount val="18"/>
                <c:pt idx="0">
                  <c:v>79214</c:v>
                </c:pt>
                <c:pt idx="1">
                  <c:v>112900</c:v>
                </c:pt>
                <c:pt idx="2">
                  <c:v>150192</c:v>
                </c:pt>
                <c:pt idx="3">
                  <c:v>196331</c:v>
                </c:pt>
                <c:pt idx="4">
                  <c:v>251277</c:v>
                </c:pt>
                <c:pt idx="5">
                  <c:v>293781</c:v>
                </c:pt>
                <c:pt idx="6">
                  <c:v>376596</c:v>
                </c:pt>
                <c:pt idx="7">
                  <c:v>525218</c:v>
                </c:pt>
                <c:pt idx="8">
                  <c:v>692937</c:v>
                </c:pt>
                <c:pt idx="9">
                  <c:v>881565</c:v>
                </c:pt>
                <c:pt idx="10">
                  <c:v>1008743</c:v>
                </c:pt>
                <c:pt idx="11">
                  <c:v>1217730</c:v>
                </c:pt>
                <c:pt idx="12">
                  <c:v>1515906</c:v>
                </c:pt>
                <c:pt idx="13">
                  <c:v>1619201</c:v>
                </c:pt>
                <c:pt idx="14">
                  <c:v>1804971</c:v>
                </c:pt>
                <c:pt idx="15">
                  <c:v>1772440</c:v>
                </c:pt>
                <c:pt idx="16">
                  <c:v>1929494</c:v>
                </c:pt>
                <c:pt idx="17">
                  <c:v>2138679</c:v>
                </c:pt>
              </c:numCache>
            </c:numRef>
          </c:val>
          <c:extLst>
            <c:ext xmlns:c16="http://schemas.microsoft.com/office/drawing/2014/chart" uri="{C3380CC4-5D6E-409C-BE32-E72D297353CC}">
              <c16:uniqueId val="{00000003-A47D-40BC-AC24-C87B2BADC3B1}"/>
            </c:ext>
          </c:extLst>
        </c:ser>
        <c:ser>
          <c:idx val="2"/>
          <c:order val="3"/>
          <c:tx>
            <c:strRef>
              <c:f>'Ch3. Demand for patent rights'!$B$126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rights'!$D$126:$U$126</c:f>
              <c:numCache>
                <c:formatCode>#,##0</c:formatCode>
                <c:ptCount val="18"/>
                <c:pt idx="0">
                  <c:v>216380</c:v>
                </c:pt>
                <c:pt idx="1">
                  <c:v>285537</c:v>
                </c:pt>
                <c:pt idx="2">
                  <c:v>317298</c:v>
                </c:pt>
                <c:pt idx="3">
                  <c:v>328462</c:v>
                </c:pt>
                <c:pt idx="4">
                  <c:v>302412</c:v>
                </c:pt>
                <c:pt idx="5">
                  <c:v>298000</c:v>
                </c:pt>
                <c:pt idx="6">
                  <c:v>340552</c:v>
                </c:pt>
                <c:pt idx="7">
                  <c:v>364530</c:v>
                </c:pt>
                <c:pt idx="8">
                  <c:v>409186</c:v>
                </c:pt>
                <c:pt idx="9">
                  <c:v>454204</c:v>
                </c:pt>
                <c:pt idx="10">
                  <c:v>452053</c:v>
                </c:pt>
                <c:pt idx="11">
                  <c:v>469136</c:v>
                </c:pt>
                <c:pt idx="12">
                  <c:v>480312</c:v>
                </c:pt>
                <c:pt idx="13">
                  <c:v>459727</c:v>
                </c:pt>
                <c:pt idx="14">
                  <c:v>493229</c:v>
                </c:pt>
                <c:pt idx="15">
                  <c:v>549660</c:v>
                </c:pt>
                <c:pt idx="16">
                  <c:v>589441</c:v>
                </c:pt>
                <c:pt idx="17">
                  <c:v>609127</c:v>
                </c:pt>
              </c:numCache>
            </c:numRef>
          </c:val>
          <c:extLst>
            <c:ext xmlns:c16="http://schemas.microsoft.com/office/drawing/2014/chart" uri="{C3380CC4-5D6E-409C-BE32-E72D297353CC}">
              <c16:uniqueId val="{00000002-A47D-40BC-AC24-C87B2BADC3B1}"/>
            </c:ext>
          </c:extLst>
        </c:ser>
        <c:ser>
          <c:idx val="1"/>
          <c:order val="4"/>
          <c:tx>
            <c:strRef>
              <c:f>'Ch3. Demand for patent rights'!$B$125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rights'!$D$125:$U$125</c:f>
              <c:numCache>
                <c:formatCode>#,##0</c:formatCode>
                <c:ptCount val="18"/>
                <c:pt idx="0">
                  <c:v>984698</c:v>
                </c:pt>
                <c:pt idx="1">
                  <c:v>1082620</c:v>
                </c:pt>
                <c:pt idx="2">
                  <c:v>1085270</c:v>
                </c:pt>
                <c:pt idx="3">
                  <c:v>1095421</c:v>
                </c:pt>
                <c:pt idx="4">
                  <c:v>1081722</c:v>
                </c:pt>
                <c:pt idx="5">
                  <c:v>998209</c:v>
                </c:pt>
                <c:pt idx="6">
                  <c:v>1145232</c:v>
                </c:pt>
                <c:pt idx="7">
                  <c:v>1186328</c:v>
                </c:pt>
                <c:pt idx="8">
                  <c:v>1281023</c:v>
                </c:pt>
                <c:pt idx="9">
                  <c:v>1275625</c:v>
                </c:pt>
                <c:pt idx="10">
                  <c:v>1258882</c:v>
                </c:pt>
                <c:pt idx="11">
                  <c:v>1225357</c:v>
                </c:pt>
                <c:pt idx="12">
                  <c:v>1211142</c:v>
                </c:pt>
                <c:pt idx="13">
                  <c:v>1244535</c:v>
                </c:pt>
                <c:pt idx="14">
                  <c:v>1273772</c:v>
                </c:pt>
                <c:pt idx="15">
                  <c:v>1251430</c:v>
                </c:pt>
                <c:pt idx="16">
                  <c:v>1217123</c:v>
                </c:pt>
                <c:pt idx="17">
                  <c:v>1196855</c:v>
                </c:pt>
              </c:numCache>
            </c:numRef>
          </c:val>
          <c:extLst>
            <c:ext xmlns:c16="http://schemas.microsoft.com/office/drawing/2014/chart" uri="{C3380CC4-5D6E-409C-BE32-E72D297353CC}">
              <c16:uniqueId val="{00000001-A47D-40BC-AC24-C87B2BADC3B1}"/>
            </c:ext>
          </c:extLst>
        </c:ser>
        <c:ser>
          <c:idx val="0"/>
          <c:order val="5"/>
          <c:tx>
            <c:strRef>
              <c:f>'Ch3. Demand for patent rights'!$B$124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rights'!$D$124:$U$124</c:f>
              <c:numCache>
                <c:formatCode>#,##0</c:formatCode>
                <c:ptCount val="18"/>
                <c:pt idx="0">
                  <c:v>1955254</c:v>
                </c:pt>
                <c:pt idx="1">
                  <c:v>2264910</c:v>
                </c:pt>
                <c:pt idx="2">
                  <c:v>2380192</c:v>
                </c:pt>
                <c:pt idx="3">
                  <c:v>2560592</c:v>
                </c:pt>
                <c:pt idx="4">
                  <c:v>2737287</c:v>
                </c:pt>
                <c:pt idx="5">
                  <c:v>2685260</c:v>
                </c:pt>
                <c:pt idx="6">
                  <c:v>3003765</c:v>
                </c:pt>
                <c:pt idx="7">
                  <c:v>3060397</c:v>
                </c:pt>
                <c:pt idx="8">
                  <c:v>3107006</c:v>
                </c:pt>
                <c:pt idx="9">
                  <c:v>3161888</c:v>
                </c:pt>
                <c:pt idx="10">
                  <c:v>3238940</c:v>
                </c:pt>
                <c:pt idx="11">
                  <c:v>3251956</c:v>
                </c:pt>
                <c:pt idx="12">
                  <c:v>3262666</c:v>
                </c:pt>
                <c:pt idx="13">
                  <c:v>3344724</c:v>
                </c:pt>
                <c:pt idx="14">
                  <c:v>3467876</c:v>
                </c:pt>
                <c:pt idx="15">
                  <c:v>3497960</c:v>
                </c:pt>
                <c:pt idx="16">
                  <c:v>3445318</c:v>
                </c:pt>
                <c:pt idx="17">
                  <c:v>3542848</c:v>
                </c:pt>
              </c:numCache>
            </c:numRef>
          </c:val>
          <c:extLst>
            <c:ext xmlns:c16="http://schemas.microsoft.com/office/drawing/2014/chart" uri="{C3380CC4-5D6E-409C-BE32-E72D297353CC}">
              <c16:uniqueId val="{00000000-A47D-40BC-AC24-C87B2BADC3B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rights'!$D$123:$U$123</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rights'!$D$130:$U$130</c:f>
              <c:numCache>
                <c:formatCode>#,##0</c:formatCode>
                <c:ptCount val="18"/>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10311548</c:v>
                </c:pt>
              </c:numCache>
            </c:numRef>
          </c:val>
          <c:extLst>
            <c:ext xmlns:c16="http://schemas.microsoft.com/office/drawing/2014/chart" uri="{C3380CC4-5D6E-409C-BE32-E72D297353CC}">
              <c16:uniqueId val="{00000006-A47D-40BC-AC24-C87B2BADC3B1}"/>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Fig.3.10: WORLDWIDE DEMAND FOR PATENT</a:t>
            </a:r>
            <a:r>
              <a:rPr lang="en-US" sz="1400" b="1" baseline="0"/>
              <a:t> RIGHTS</a:t>
            </a:r>
            <a:r>
              <a:rPr lang="en-US" sz="1400" b="1"/>
              <a:t>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Demand for patent rights'!$B$138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rights'!$D$138:$U$138</c:f>
              <c:numCache>
                <c:formatCode>#,##0</c:formatCode>
                <c:ptCount val="18"/>
                <c:pt idx="0">
                  <c:v>244698</c:v>
                </c:pt>
                <c:pt idx="1">
                  <c:v>359972</c:v>
                </c:pt>
                <c:pt idx="2">
                  <c:v>396514</c:v>
                </c:pt>
                <c:pt idx="3">
                  <c:v>356166</c:v>
                </c:pt>
                <c:pt idx="4">
                  <c:v>367509</c:v>
                </c:pt>
                <c:pt idx="5">
                  <c:v>304100</c:v>
                </c:pt>
                <c:pt idx="6">
                  <c:v>311994</c:v>
                </c:pt>
                <c:pt idx="7">
                  <c:v>399369</c:v>
                </c:pt>
                <c:pt idx="8">
                  <c:v>444364</c:v>
                </c:pt>
                <c:pt idx="9">
                  <c:v>468035</c:v>
                </c:pt>
                <c:pt idx="10">
                  <c:v>456319</c:v>
                </c:pt>
                <c:pt idx="11">
                  <c:v>456283</c:v>
                </c:pt>
                <c:pt idx="12">
                  <c:v>454968</c:v>
                </c:pt>
                <c:pt idx="13">
                  <c:v>452866</c:v>
                </c:pt>
                <c:pt idx="14">
                  <c:v>466298</c:v>
                </c:pt>
                <c:pt idx="15">
                  <c:v>474073</c:v>
                </c:pt>
                <c:pt idx="16">
                  <c:v>481642</c:v>
                </c:pt>
                <c:pt idx="17">
                  <c:v>444553</c:v>
                </c:pt>
              </c:numCache>
            </c:numRef>
          </c:val>
          <c:extLst>
            <c:ext xmlns:c16="http://schemas.microsoft.com/office/drawing/2014/chart" uri="{C3380CC4-5D6E-409C-BE32-E72D297353CC}">
              <c16:uniqueId val="{00000005-E20A-4C77-98D1-9BF90E7152AD}"/>
            </c:ext>
          </c:extLst>
        </c:ser>
        <c:ser>
          <c:idx val="4"/>
          <c:order val="1"/>
          <c:tx>
            <c:strRef>
              <c:f>'Ch3. Demand for patent rights'!$B$137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rights'!$D$137:$U$137</c:f>
              <c:numCache>
                <c:formatCode>#,##0</c:formatCode>
                <c:ptCount val="18"/>
                <c:pt idx="0">
                  <c:v>356943</c:v>
                </c:pt>
                <c:pt idx="1">
                  <c:v>390733</c:v>
                </c:pt>
                <c:pt idx="2">
                  <c:v>425967</c:v>
                </c:pt>
                <c:pt idx="3">
                  <c:v>456154</c:v>
                </c:pt>
                <c:pt idx="4">
                  <c:v>456321</c:v>
                </c:pt>
                <c:pt idx="5">
                  <c:v>456106</c:v>
                </c:pt>
                <c:pt idx="6">
                  <c:v>490226</c:v>
                </c:pt>
                <c:pt idx="7">
                  <c:v>503582</c:v>
                </c:pt>
                <c:pt idx="8">
                  <c:v>542815</c:v>
                </c:pt>
                <c:pt idx="9">
                  <c:v>571612</c:v>
                </c:pt>
                <c:pt idx="10">
                  <c:v>578802</c:v>
                </c:pt>
                <c:pt idx="11">
                  <c:v>589410</c:v>
                </c:pt>
                <c:pt idx="12">
                  <c:v>605571</c:v>
                </c:pt>
                <c:pt idx="13">
                  <c:v>606956</c:v>
                </c:pt>
                <c:pt idx="14">
                  <c:v>597141</c:v>
                </c:pt>
                <c:pt idx="15">
                  <c:v>621453</c:v>
                </c:pt>
                <c:pt idx="16">
                  <c:v>597172</c:v>
                </c:pt>
                <c:pt idx="17">
                  <c:v>591473</c:v>
                </c:pt>
              </c:numCache>
            </c:numRef>
          </c:val>
          <c:extLst>
            <c:ext xmlns:c16="http://schemas.microsoft.com/office/drawing/2014/chart" uri="{C3380CC4-5D6E-409C-BE32-E72D297353CC}">
              <c16:uniqueId val="{00000004-E20A-4C77-98D1-9BF90E7152AD}"/>
            </c:ext>
          </c:extLst>
        </c:ser>
        <c:ser>
          <c:idx val="3"/>
          <c:order val="2"/>
          <c:tx>
            <c:strRef>
              <c:f>'Ch3. Demand for patent rights'!$B$136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rights'!$D$136:$U$136</c:f>
              <c:numCache>
                <c:formatCode>#,##0</c:formatCode>
                <c:ptCount val="18"/>
                <c:pt idx="0">
                  <c:v>130384</c:v>
                </c:pt>
                <c:pt idx="1">
                  <c:v>173327</c:v>
                </c:pt>
                <c:pt idx="2">
                  <c:v>210501</c:v>
                </c:pt>
                <c:pt idx="3">
                  <c:v>245161</c:v>
                </c:pt>
                <c:pt idx="4">
                  <c:v>289838</c:v>
                </c:pt>
                <c:pt idx="5">
                  <c:v>314604</c:v>
                </c:pt>
                <c:pt idx="6">
                  <c:v>391178</c:v>
                </c:pt>
                <c:pt idx="7">
                  <c:v>526412</c:v>
                </c:pt>
                <c:pt idx="8">
                  <c:v>652777</c:v>
                </c:pt>
                <c:pt idx="9">
                  <c:v>825136</c:v>
                </c:pt>
                <c:pt idx="10">
                  <c:v>928177</c:v>
                </c:pt>
                <c:pt idx="11">
                  <c:v>1101864</c:v>
                </c:pt>
                <c:pt idx="12">
                  <c:v>1338503</c:v>
                </c:pt>
                <c:pt idx="13">
                  <c:v>1381594</c:v>
                </c:pt>
                <c:pt idx="14">
                  <c:v>1542002</c:v>
                </c:pt>
                <c:pt idx="15">
                  <c:v>1400661</c:v>
                </c:pt>
                <c:pt idx="16">
                  <c:v>1497159</c:v>
                </c:pt>
                <c:pt idx="17">
                  <c:v>1585663</c:v>
                </c:pt>
              </c:numCache>
            </c:numRef>
          </c:val>
          <c:extLst>
            <c:ext xmlns:c16="http://schemas.microsoft.com/office/drawing/2014/chart" uri="{C3380CC4-5D6E-409C-BE32-E72D297353CC}">
              <c16:uniqueId val="{00000003-E20A-4C77-98D1-9BF90E7152AD}"/>
            </c:ext>
          </c:extLst>
        </c:ser>
        <c:ser>
          <c:idx val="2"/>
          <c:order val="3"/>
          <c:tx>
            <c:strRef>
              <c:f>'Ch3. Demand for patent rights'!$B$135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rights'!$D$135:$U$135</c:f>
              <c:numCache>
                <c:formatCode>#,##0</c:formatCode>
                <c:ptCount val="18"/>
                <c:pt idx="0">
                  <c:v>140115</c:v>
                </c:pt>
                <c:pt idx="1">
                  <c:v>160921</c:v>
                </c:pt>
                <c:pt idx="2">
                  <c:v>166189</c:v>
                </c:pt>
                <c:pt idx="3">
                  <c:v>172469</c:v>
                </c:pt>
                <c:pt idx="4">
                  <c:v>170632</c:v>
                </c:pt>
                <c:pt idx="5">
                  <c:v>163523</c:v>
                </c:pt>
                <c:pt idx="6">
                  <c:v>170101</c:v>
                </c:pt>
                <c:pt idx="7">
                  <c:v>178924</c:v>
                </c:pt>
                <c:pt idx="8">
                  <c:v>188915</c:v>
                </c:pt>
                <c:pt idx="9">
                  <c:v>204589</c:v>
                </c:pt>
                <c:pt idx="10">
                  <c:v>210292</c:v>
                </c:pt>
                <c:pt idx="11">
                  <c:v>213694</c:v>
                </c:pt>
                <c:pt idx="12">
                  <c:v>208830</c:v>
                </c:pt>
                <c:pt idx="13">
                  <c:v>204775</c:v>
                </c:pt>
                <c:pt idx="14">
                  <c:v>209992</c:v>
                </c:pt>
                <c:pt idx="15">
                  <c:v>218975</c:v>
                </c:pt>
                <c:pt idx="16">
                  <c:v>226759</c:v>
                </c:pt>
                <c:pt idx="17">
                  <c:v>237998</c:v>
                </c:pt>
              </c:numCache>
            </c:numRef>
          </c:val>
          <c:extLst>
            <c:ext xmlns:c16="http://schemas.microsoft.com/office/drawing/2014/chart" uri="{C3380CC4-5D6E-409C-BE32-E72D297353CC}">
              <c16:uniqueId val="{00000002-E20A-4C77-98D1-9BF90E7152AD}"/>
            </c:ext>
          </c:extLst>
        </c:ser>
        <c:ser>
          <c:idx val="1"/>
          <c:order val="4"/>
          <c:tx>
            <c:strRef>
              <c:f>'Ch3. Demand for patent rights'!$B$134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rights'!$D$134:$U$134</c:f>
              <c:numCache>
                <c:formatCode>#,##0</c:formatCode>
                <c:ptCount val="18"/>
                <c:pt idx="0">
                  <c:v>423081</c:v>
                </c:pt>
                <c:pt idx="1">
                  <c:v>427078</c:v>
                </c:pt>
                <c:pt idx="2">
                  <c:v>408674</c:v>
                </c:pt>
                <c:pt idx="3">
                  <c:v>396291</c:v>
                </c:pt>
                <c:pt idx="4">
                  <c:v>391002</c:v>
                </c:pt>
                <c:pt idx="5">
                  <c:v>348596</c:v>
                </c:pt>
                <c:pt idx="6">
                  <c:v>344598</c:v>
                </c:pt>
                <c:pt idx="7">
                  <c:v>342610</c:v>
                </c:pt>
                <c:pt idx="8">
                  <c:v>342796</c:v>
                </c:pt>
                <c:pt idx="9">
                  <c:v>328436</c:v>
                </c:pt>
                <c:pt idx="10">
                  <c:v>325989</c:v>
                </c:pt>
                <c:pt idx="11">
                  <c:v>318721</c:v>
                </c:pt>
                <c:pt idx="12">
                  <c:v>318381</c:v>
                </c:pt>
                <c:pt idx="13">
                  <c:v>318479</c:v>
                </c:pt>
                <c:pt idx="14">
                  <c:v>313567</c:v>
                </c:pt>
                <c:pt idx="15">
                  <c:v>307969</c:v>
                </c:pt>
                <c:pt idx="16">
                  <c:v>288472</c:v>
                </c:pt>
                <c:pt idx="17">
                  <c:v>289200</c:v>
                </c:pt>
              </c:numCache>
            </c:numRef>
          </c:val>
          <c:extLst>
            <c:ext xmlns:c16="http://schemas.microsoft.com/office/drawing/2014/chart" uri="{C3380CC4-5D6E-409C-BE32-E72D297353CC}">
              <c16:uniqueId val="{00000001-E20A-4C77-98D1-9BF90E7152AD}"/>
            </c:ext>
          </c:extLst>
        </c:ser>
        <c:ser>
          <c:idx val="0"/>
          <c:order val="5"/>
          <c:tx>
            <c:strRef>
              <c:f>'Ch3. Demand for patent rights'!$B$133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rights'!$D$133:$U$133</c:f>
              <c:numCache>
                <c:formatCode>#,##0</c:formatCode>
                <c:ptCount val="18"/>
                <c:pt idx="0">
                  <c:v>3333834</c:v>
                </c:pt>
                <c:pt idx="1">
                  <c:v>3806771</c:v>
                </c:pt>
                <c:pt idx="2">
                  <c:v>4055596</c:v>
                </c:pt>
                <c:pt idx="3">
                  <c:v>4365942</c:v>
                </c:pt>
                <c:pt idx="4">
                  <c:v>4695731</c:v>
                </c:pt>
                <c:pt idx="5">
                  <c:v>4495138</c:v>
                </c:pt>
                <c:pt idx="6">
                  <c:v>5292028</c:v>
                </c:pt>
                <c:pt idx="7">
                  <c:v>5292322</c:v>
                </c:pt>
                <c:pt idx="8">
                  <c:v>5517748</c:v>
                </c:pt>
                <c:pt idx="9">
                  <c:v>5577737</c:v>
                </c:pt>
                <c:pt idx="10">
                  <c:v>5764991</c:v>
                </c:pt>
                <c:pt idx="11">
                  <c:v>6042750</c:v>
                </c:pt>
                <c:pt idx="12">
                  <c:v>6020808</c:v>
                </c:pt>
                <c:pt idx="13">
                  <c:v>6294311</c:v>
                </c:pt>
                <c:pt idx="14">
                  <c:v>6586184</c:v>
                </c:pt>
                <c:pt idx="15">
                  <c:v>6850874</c:v>
                </c:pt>
                <c:pt idx="16">
                  <c:v>6811733</c:v>
                </c:pt>
                <c:pt idx="17">
                  <c:v>7162661</c:v>
                </c:pt>
              </c:numCache>
            </c:numRef>
          </c:val>
          <c:extLst>
            <c:ext xmlns:c16="http://schemas.microsoft.com/office/drawing/2014/chart" uri="{C3380CC4-5D6E-409C-BE32-E72D297353CC}">
              <c16:uniqueId val="{00000000-E20A-4C77-98D1-9BF90E7152AD}"/>
            </c:ext>
          </c:extLst>
        </c:ser>
        <c:ser>
          <c:idx val="6"/>
          <c:order val="6"/>
          <c:tx>
            <c:strRef>
              <c:f>'Ch3. Demand for patent rights'!$B$139</c:f>
              <c:strCache>
                <c:ptCount val="1"/>
                <c:pt idx="0">
                  <c:v>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rights'!$D$132:$U$132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'Ch3. Demand for patent rights'!$D$139:$U$139</c:f>
              <c:numCache>
                <c:formatCode>#,##0</c:formatCode>
                <c:ptCount val="18"/>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10311548</c:v>
                </c:pt>
              </c:numCache>
            </c:numRef>
          </c:val>
          <c:extLst>
            <c:ext xmlns:c16="http://schemas.microsoft.com/office/drawing/2014/chart" uri="{C3380CC4-5D6E-409C-BE32-E72D297353CC}">
              <c16:uniqueId val="{00000006-E20A-4C77-98D1-9BF90E7152AD}"/>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Fig.3.8: WORLDWIDE DEMAND FOR PATENT RIGHTS - FILING PROCEDURES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3462556402E-2"/>
          <c:y val="0.16418185735668273"/>
          <c:w val="0.84605487374176691"/>
          <c:h val="0.80248480135643074"/>
        </c:manualLayout>
      </c:layout>
      <c:barChart>
        <c:barDir val="col"/>
        <c:grouping val="stacked"/>
        <c:varyColors val="0"/>
        <c:ser>
          <c:idx val="0"/>
          <c:order val="0"/>
          <c:tx>
            <c:strRef>
              <c:f>'Ch3. Demand for patent rights'!$B$118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rights'!$K$118:$U$118</c:f>
              <c:numCache>
                <c:formatCode>#,##0</c:formatCode>
                <c:ptCount val="11"/>
                <c:pt idx="0">
                  <c:v>1555711</c:v>
                </c:pt>
                <c:pt idx="1">
                  <c:v>1728578</c:v>
                </c:pt>
                <c:pt idx="2">
                  <c:v>1921441</c:v>
                </c:pt>
                <c:pt idx="3">
                  <c:v>2008933</c:v>
                </c:pt>
                <c:pt idx="4">
                  <c:v>2188932</c:v>
                </c:pt>
                <c:pt idx="5">
                  <c:v>2436257</c:v>
                </c:pt>
                <c:pt idx="6">
                  <c:v>2456411</c:v>
                </c:pt>
                <c:pt idx="7">
                  <c:v>2600036</c:v>
                </c:pt>
                <c:pt idx="8">
                  <c:v>2465543</c:v>
                </c:pt>
                <c:pt idx="9">
                  <c:v>2538782</c:v>
                </c:pt>
                <c:pt idx="10">
                  <c:v>2592580</c:v>
                </c:pt>
              </c:numCache>
            </c:numRef>
          </c:val>
          <c:extLst>
            <c:ext xmlns:c16="http://schemas.microsoft.com/office/drawing/2014/chart" uri="{C3380CC4-5D6E-409C-BE32-E72D297353CC}">
              <c16:uniqueId val="{00000000-4A13-41A8-87A8-DFEB80541726}"/>
            </c:ext>
          </c:extLst>
        </c:ser>
        <c:ser>
          <c:idx val="1"/>
          <c:order val="1"/>
          <c:tx>
            <c:strRef>
              <c:f>'Ch3. Demand for patent rights'!$B$119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rights'!$K$119:$U$119</c:f>
              <c:numCache>
                <c:formatCode>#,##0</c:formatCode>
                <c:ptCount val="11"/>
                <c:pt idx="0">
                  <c:v>2358797</c:v>
                </c:pt>
                <c:pt idx="1">
                  <c:v>2368478</c:v>
                </c:pt>
                <c:pt idx="2">
                  <c:v>2309520</c:v>
                </c:pt>
                <c:pt idx="3">
                  <c:v>2281077</c:v>
                </c:pt>
                <c:pt idx="4">
                  <c:v>2339557</c:v>
                </c:pt>
                <c:pt idx="5">
                  <c:v>2456492</c:v>
                </c:pt>
                <c:pt idx="6">
                  <c:v>2587653</c:v>
                </c:pt>
                <c:pt idx="7">
                  <c:v>2743126</c:v>
                </c:pt>
                <c:pt idx="8">
                  <c:v>2882282</c:v>
                </c:pt>
                <c:pt idx="9">
                  <c:v>2809184</c:v>
                </c:pt>
                <c:pt idx="10">
                  <c:v>2811808</c:v>
                </c:pt>
              </c:numCache>
            </c:numRef>
          </c:val>
          <c:extLst>
            <c:ext xmlns:c16="http://schemas.microsoft.com/office/drawing/2014/chart" uri="{C3380CC4-5D6E-409C-BE32-E72D297353CC}">
              <c16:uniqueId val="{00000001-4A13-41A8-87A8-DFEB80541726}"/>
            </c:ext>
          </c:extLst>
        </c:ser>
        <c:ser>
          <c:idx val="2"/>
          <c:order val="2"/>
          <c:tx>
            <c:strRef>
              <c:f>'Ch3. Demand for patent rights'!$B$120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rights'!$K$120:$U$120</c:f>
              <c:numCache>
                <c:formatCode>#,##0</c:formatCode>
                <c:ptCount val="11"/>
                <c:pt idx="0">
                  <c:v>3328711</c:v>
                </c:pt>
                <c:pt idx="1">
                  <c:v>3592359</c:v>
                </c:pt>
                <c:pt idx="2">
                  <c:v>3744584</c:v>
                </c:pt>
                <c:pt idx="3">
                  <c:v>3974560</c:v>
                </c:pt>
                <c:pt idx="4">
                  <c:v>4194233</c:v>
                </c:pt>
                <c:pt idx="5">
                  <c:v>4054312</c:v>
                </c:pt>
                <c:pt idx="6">
                  <c:v>4214917</c:v>
                </c:pt>
                <c:pt idx="7">
                  <c:v>4372022</c:v>
                </c:pt>
                <c:pt idx="8">
                  <c:v>4526180</c:v>
                </c:pt>
                <c:pt idx="9">
                  <c:v>4554971</c:v>
                </c:pt>
                <c:pt idx="10">
                  <c:v>4907160</c:v>
                </c:pt>
              </c:numCache>
            </c:numRef>
          </c:val>
          <c:extLst>
            <c:ext xmlns:c16="http://schemas.microsoft.com/office/drawing/2014/chart" uri="{C3380CC4-5D6E-409C-BE32-E72D297353CC}">
              <c16:uniqueId val="{00000002-4A13-41A8-87A8-DFEB80541726}"/>
            </c:ext>
          </c:extLst>
        </c:ser>
        <c:ser>
          <c:idx val="3"/>
          <c:order val="3"/>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rights'!$K$117:$U$117</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rights'!$K$121:$U$121</c:f>
              <c:numCache>
                <c:formatCode>#,##0</c:formatCode>
                <c:ptCount val="11"/>
                <c:pt idx="0">
                  <c:v>7243219</c:v>
                </c:pt>
                <c:pt idx="1">
                  <c:v>7689415</c:v>
                </c:pt>
                <c:pt idx="2">
                  <c:v>7975545</c:v>
                </c:pt>
                <c:pt idx="3">
                  <c:v>8264570</c:v>
                </c:pt>
                <c:pt idx="4">
                  <c:v>8722722</c:v>
                </c:pt>
                <c:pt idx="5">
                  <c:v>8947061</c:v>
                </c:pt>
                <c:pt idx="6">
                  <c:v>9258981</c:v>
                </c:pt>
                <c:pt idx="7">
                  <c:v>9715184</c:v>
                </c:pt>
                <c:pt idx="8">
                  <c:v>9874005</c:v>
                </c:pt>
                <c:pt idx="9">
                  <c:v>9902937</c:v>
                </c:pt>
                <c:pt idx="10">
                  <c:v>10311548</c:v>
                </c:pt>
              </c:numCache>
            </c:numRef>
          </c:val>
          <c:extLst>
            <c:ext xmlns:c16="http://schemas.microsoft.com/office/drawing/2014/chart" uri="{C3380CC4-5D6E-409C-BE32-E72D297353CC}">
              <c16:uniqueId val="{00000003-4A13-41A8-87A8-DFEB80541726}"/>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126580716908074"/>
          <c:y val="0.29646869397964543"/>
          <c:w val="0.13303009279567674"/>
          <c:h val="0.4015474592096061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Fig.3.9: WORLDWIDE DEMAND FOR PATENT RIGHTS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42E-2"/>
          <c:y val="0.11239396621187454"/>
          <c:w val="0.84346015850214207"/>
          <c:h val="0.8060502997018133"/>
        </c:manualLayout>
      </c:layout>
      <c:barChart>
        <c:barDir val="col"/>
        <c:grouping val="stacked"/>
        <c:varyColors val="0"/>
        <c:ser>
          <c:idx val="5"/>
          <c:order val="0"/>
          <c:tx>
            <c:strRef>
              <c:f>'Ch3. Demand for patent rights'!$B$129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rights'!$K$129:$U$129</c:f>
              <c:numCache>
                <c:formatCode>#,##0</c:formatCode>
                <c:ptCount val="11"/>
                <c:pt idx="0">
                  <c:v>453469</c:v>
                </c:pt>
                <c:pt idx="1">
                  <c:v>490202</c:v>
                </c:pt>
                <c:pt idx="2">
                  <c:v>483772</c:v>
                </c:pt>
                <c:pt idx="3">
                  <c:v>476631</c:v>
                </c:pt>
                <c:pt idx="4">
                  <c:v>495429</c:v>
                </c:pt>
                <c:pt idx="5">
                  <c:v>515099</c:v>
                </c:pt>
                <c:pt idx="6">
                  <c:v>533370</c:v>
                </c:pt>
                <c:pt idx="7">
                  <c:v>580353</c:v>
                </c:pt>
                <c:pt idx="8">
                  <c:v>611354</c:v>
                </c:pt>
                <c:pt idx="9">
                  <c:v>623491</c:v>
                </c:pt>
                <c:pt idx="10">
                  <c:v>620082</c:v>
                </c:pt>
              </c:numCache>
            </c:numRef>
          </c:val>
          <c:extLst>
            <c:ext xmlns:c16="http://schemas.microsoft.com/office/drawing/2014/chart" uri="{C3380CC4-5D6E-409C-BE32-E72D297353CC}">
              <c16:uniqueId val="{00000000-AFE5-4435-B7FC-98CE289DEF64}"/>
            </c:ext>
          </c:extLst>
        </c:ser>
        <c:ser>
          <c:idx val="4"/>
          <c:order val="1"/>
          <c:tx>
            <c:strRef>
              <c:f>'Ch3. Demand for patent rights'!$B$128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rights'!$K$128:$U$128</c:f>
              <c:numCache>
                <c:formatCode>#,##0</c:formatCode>
                <c:ptCount val="11"/>
                <c:pt idx="0">
                  <c:v>1653277</c:v>
                </c:pt>
                <c:pt idx="1">
                  <c:v>1709061</c:v>
                </c:pt>
                <c:pt idx="2">
                  <c:v>1718491</c:v>
                </c:pt>
                <c:pt idx="3">
                  <c:v>1829321</c:v>
                </c:pt>
                <c:pt idx="4">
                  <c:v>2063114</c:v>
                </c:pt>
                <c:pt idx="5">
                  <c:v>1961936</c:v>
                </c:pt>
                <c:pt idx="6">
                  <c:v>2057424</c:v>
                </c:pt>
                <c:pt idx="7">
                  <c:v>2094983</c:v>
                </c:pt>
                <c:pt idx="8">
                  <c:v>2191161</c:v>
                </c:pt>
                <c:pt idx="9">
                  <c:v>2098070</c:v>
                </c:pt>
                <c:pt idx="10">
                  <c:v>2203957</c:v>
                </c:pt>
              </c:numCache>
            </c:numRef>
          </c:val>
          <c:extLst>
            <c:ext xmlns:c16="http://schemas.microsoft.com/office/drawing/2014/chart" uri="{C3380CC4-5D6E-409C-BE32-E72D297353CC}">
              <c16:uniqueId val="{00000001-AFE5-4435-B7FC-98CE289DEF64}"/>
            </c:ext>
          </c:extLst>
        </c:ser>
        <c:ser>
          <c:idx val="3"/>
          <c:order val="2"/>
          <c:tx>
            <c:strRef>
              <c:f>'Ch3. Demand for patent rights'!$B$127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rights'!$K$127:$U$127</c:f>
              <c:numCache>
                <c:formatCode>#,##0</c:formatCode>
                <c:ptCount val="11"/>
                <c:pt idx="0">
                  <c:v>525218</c:v>
                </c:pt>
                <c:pt idx="1">
                  <c:v>692937</c:v>
                </c:pt>
                <c:pt idx="2">
                  <c:v>881565</c:v>
                </c:pt>
                <c:pt idx="3">
                  <c:v>1008743</c:v>
                </c:pt>
                <c:pt idx="4">
                  <c:v>1217730</c:v>
                </c:pt>
                <c:pt idx="5">
                  <c:v>1515906</c:v>
                </c:pt>
                <c:pt idx="6">
                  <c:v>1619201</c:v>
                </c:pt>
                <c:pt idx="7">
                  <c:v>1804971</c:v>
                </c:pt>
                <c:pt idx="8">
                  <c:v>1772440</c:v>
                </c:pt>
                <c:pt idx="9">
                  <c:v>1929494</c:v>
                </c:pt>
                <c:pt idx="10">
                  <c:v>2138679</c:v>
                </c:pt>
              </c:numCache>
            </c:numRef>
          </c:val>
          <c:extLst>
            <c:ext xmlns:c16="http://schemas.microsoft.com/office/drawing/2014/chart" uri="{C3380CC4-5D6E-409C-BE32-E72D297353CC}">
              <c16:uniqueId val="{00000002-AFE5-4435-B7FC-98CE289DEF64}"/>
            </c:ext>
          </c:extLst>
        </c:ser>
        <c:ser>
          <c:idx val="2"/>
          <c:order val="3"/>
          <c:tx>
            <c:strRef>
              <c:f>'Ch3. Demand for patent rights'!$B$126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rights'!$K$126:$U$126</c:f>
              <c:numCache>
                <c:formatCode>#,##0</c:formatCode>
                <c:ptCount val="11"/>
                <c:pt idx="0">
                  <c:v>364530</c:v>
                </c:pt>
                <c:pt idx="1">
                  <c:v>409186</c:v>
                </c:pt>
                <c:pt idx="2">
                  <c:v>454204</c:v>
                </c:pt>
                <c:pt idx="3">
                  <c:v>452053</c:v>
                </c:pt>
                <c:pt idx="4">
                  <c:v>469136</c:v>
                </c:pt>
                <c:pt idx="5">
                  <c:v>480312</c:v>
                </c:pt>
                <c:pt idx="6">
                  <c:v>459727</c:v>
                </c:pt>
                <c:pt idx="7">
                  <c:v>493229</c:v>
                </c:pt>
                <c:pt idx="8">
                  <c:v>549660</c:v>
                </c:pt>
                <c:pt idx="9">
                  <c:v>589441</c:v>
                </c:pt>
                <c:pt idx="10">
                  <c:v>609127</c:v>
                </c:pt>
              </c:numCache>
            </c:numRef>
          </c:val>
          <c:extLst>
            <c:ext xmlns:c16="http://schemas.microsoft.com/office/drawing/2014/chart" uri="{C3380CC4-5D6E-409C-BE32-E72D297353CC}">
              <c16:uniqueId val="{00000003-AFE5-4435-B7FC-98CE289DEF64}"/>
            </c:ext>
          </c:extLst>
        </c:ser>
        <c:ser>
          <c:idx val="1"/>
          <c:order val="4"/>
          <c:tx>
            <c:strRef>
              <c:f>'Ch3. Demand for patent rights'!$B$125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rights'!$K$125:$U$125</c:f>
              <c:numCache>
                <c:formatCode>#,##0</c:formatCode>
                <c:ptCount val="11"/>
                <c:pt idx="0">
                  <c:v>1186328</c:v>
                </c:pt>
                <c:pt idx="1">
                  <c:v>1281023</c:v>
                </c:pt>
                <c:pt idx="2">
                  <c:v>1275625</c:v>
                </c:pt>
                <c:pt idx="3">
                  <c:v>1258882</c:v>
                </c:pt>
                <c:pt idx="4">
                  <c:v>1225357</c:v>
                </c:pt>
                <c:pt idx="5">
                  <c:v>1211142</c:v>
                </c:pt>
                <c:pt idx="6">
                  <c:v>1244535</c:v>
                </c:pt>
                <c:pt idx="7">
                  <c:v>1273772</c:v>
                </c:pt>
                <c:pt idx="8">
                  <c:v>1251430</c:v>
                </c:pt>
                <c:pt idx="9">
                  <c:v>1217123</c:v>
                </c:pt>
                <c:pt idx="10">
                  <c:v>1196855</c:v>
                </c:pt>
              </c:numCache>
            </c:numRef>
          </c:val>
          <c:extLst>
            <c:ext xmlns:c16="http://schemas.microsoft.com/office/drawing/2014/chart" uri="{C3380CC4-5D6E-409C-BE32-E72D297353CC}">
              <c16:uniqueId val="{00000004-AFE5-4435-B7FC-98CE289DEF64}"/>
            </c:ext>
          </c:extLst>
        </c:ser>
        <c:ser>
          <c:idx val="0"/>
          <c:order val="5"/>
          <c:tx>
            <c:strRef>
              <c:f>'Ch3. Demand for patent rights'!$B$124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rights'!$K$124:$U$124</c:f>
              <c:numCache>
                <c:formatCode>#,##0</c:formatCode>
                <c:ptCount val="11"/>
                <c:pt idx="0">
                  <c:v>3060397</c:v>
                </c:pt>
                <c:pt idx="1">
                  <c:v>3107006</c:v>
                </c:pt>
                <c:pt idx="2">
                  <c:v>3161888</c:v>
                </c:pt>
                <c:pt idx="3">
                  <c:v>3238940</c:v>
                </c:pt>
                <c:pt idx="4">
                  <c:v>3251956</c:v>
                </c:pt>
                <c:pt idx="5">
                  <c:v>3262666</c:v>
                </c:pt>
                <c:pt idx="6">
                  <c:v>3344724</c:v>
                </c:pt>
                <c:pt idx="7">
                  <c:v>3467876</c:v>
                </c:pt>
                <c:pt idx="8">
                  <c:v>3497960</c:v>
                </c:pt>
                <c:pt idx="9">
                  <c:v>3445318</c:v>
                </c:pt>
                <c:pt idx="10">
                  <c:v>3542848</c:v>
                </c:pt>
              </c:numCache>
            </c:numRef>
          </c:val>
          <c:extLst>
            <c:ext xmlns:c16="http://schemas.microsoft.com/office/drawing/2014/chart" uri="{C3380CC4-5D6E-409C-BE32-E72D297353CC}">
              <c16:uniqueId val="{00000005-AFE5-4435-B7FC-98CE289DEF6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rights'!$K$123:$U$123</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rights'!$K$130:$U$130</c:f>
              <c:numCache>
                <c:formatCode>#,##0</c:formatCode>
                <c:ptCount val="11"/>
                <c:pt idx="0">
                  <c:v>7243219</c:v>
                </c:pt>
                <c:pt idx="1">
                  <c:v>7689415</c:v>
                </c:pt>
                <c:pt idx="2">
                  <c:v>7975545</c:v>
                </c:pt>
                <c:pt idx="3">
                  <c:v>8264570</c:v>
                </c:pt>
                <c:pt idx="4">
                  <c:v>8722722</c:v>
                </c:pt>
                <c:pt idx="5">
                  <c:v>8947061</c:v>
                </c:pt>
                <c:pt idx="6">
                  <c:v>9258981</c:v>
                </c:pt>
                <c:pt idx="7">
                  <c:v>9715184</c:v>
                </c:pt>
                <c:pt idx="8">
                  <c:v>9874005</c:v>
                </c:pt>
                <c:pt idx="9">
                  <c:v>9902937</c:v>
                </c:pt>
                <c:pt idx="10">
                  <c:v>10311548</c:v>
                </c:pt>
              </c:numCache>
            </c:numRef>
          </c:val>
          <c:extLst>
            <c:ext xmlns:c16="http://schemas.microsoft.com/office/drawing/2014/chart" uri="{C3380CC4-5D6E-409C-BE32-E72D297353CC}">
              <c16:uniqueId val="{00000006-AFE5-4435-B7FC-98CE289DEF64}"/>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5867109420674448"/>
          <c:y val="0.24707378837360736"/>
          <c:w val="0.13372343794095432"/>
          <c:h val="0.563700921904300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Fig.3.10: WORLDWIDE DEMAND FOR PATENT</a:t>
            </a:r>
            <a:r>
              <a:rPr lang="en-US" sz="1400" b="1" baseline="0"/>
              <a:t> RIGHTS</a:t>
            </a:r>
            <a:r>
              <a:rPr lang="en-US" sz="1400" b="1"/>
              <a:t>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42E-2"/>
          <c:y val="0.16418185735668273"/>
          <c:w val="0.84536152546521737"/>
          <c:h val="0.7542624085570051"/>
        </c:manualLayout>
      </c:layout>
      <c:barChart>
        <c:barDir val="col"/>
        <c:grouping val="stacked"/>
        <c:varyColors val="0"/>
        <c:ser>
          <c:idx val="5"/>
          <c:order val="0"/>
          <c:tx>
            <c:strRef>
              <c:f>'Ch3. Demand for patent rights'!$B$138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rights'!$K$138:$U$138</c:f>
              <c:numCache>
                <c:formatCode>#,##0</c:formatCode>
                <c:ptCount val="11"/>
                <c:pt idx="0">
                  <c:v>399369</c:v>
                </c:pt>
                <c:pt idx="1">
                  <c:v>444364</c:v>
                </c:pt>
                <c:pt idx="2">
                  <c:v>468035</c:v>
                </c:pt>
                <c:pt idx="3">
                  <c:v>456319</c:v>
                </c:pt>
                <c:pt idx="4">
                  <c:v>456283</c:v>
                </c:pt>
                <c:pt idx="5">
                  <c:v>454968</c:v>
                </c:pt>
                <c:pt idx="6">
                  <c:v>452866</c:v>
                </c:pt>
                <c:pt idx="7">
                  <c:v>466298</c:v>
                </c:pt>
                <c:pt idx="8">
                  <c:v>474073</c:v>
                </c:pt>
                <c:pt idx="9">
                  <c:v>481642</c:v>
                </c:pt>
                <c:pt idx="10">
                  <c:v>444553</c:v>
                </c:pt>
              </c:numCache>
            </c:numRef>
          </c:val>
          <c:extLst>
            <c:ext xmlns:c16="http://schemas.microsoft.com/office/drawing/2014/chart" uri="{C3380CC4-5D6E-409C-BE32-E72D297353CC}">
              <c16:uniqueId val="{00000000-7C37-491C-8075-5BBB47271C83}"/>
            </c:ext>
          </c:extLst>
        </c:ser>
        <c:ser>
          <c:idx val="4"/>
          <c:order val="1"/>
          <c:tx>
            <c:strRef>
              <c:f>'Ch3. Demand for patent rights'!$B$137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rights'!$K$137:$U$137</c:f>
              <c:numCache>
                <c:formatCode>#,##0</c:formatCode>
                <c:ptCount val="11"/>
                <c:pt idx="0">
                  <c:v>503582</c:v>
                </c:pt>
                <c:pt idx="1">
                  <c:v>542815</c:v>
                </c:pt>
                <c:pt idx="2">
                  <c:v>571612</c:v>
                </c:pt>
                <c:pt idx="3">
                  <c:v>578802</c:v>
                </c:pt>
                <c:pt idx="4">
                  <c:v>589410</c:v>
                </c:pt>
                <c:pt idx="5">
                  <c:v>605571</c:v>
                </c:pt>
                <c:pt idx="6">
                  <c:v>606956</c:v>
                </c:pt>
                <c:pt idx="7">
                  <c:v>597141</c:v>
                </c:pt>
                <c:pt idx="8">
                  <c:v>621453</c:v>
                </c:pt>
                <c:pt idx="9">
                  <c:v>597172</c:v>
                </c:pt>
                <c:pt idx="10">
                  <c:v>591473</c:v>
                </c:pt>
              </c:numCache>
            </c:numRef>
          </c:val>
          <c:extLst>
            <c:ext xmlns:c16="http://schemas.microsoft.com/office/drawing/2014/chart" uri="{C3380CC4-5D6E-409C-BE32-E72D297353CC}">
              <c16:uniqueId val="{00000001-7C37-491C-8075-5BBB47271C83}"/>
            </c:ext>
          </c:extLst>
        </c:ser>
        <c:ser>
          <c:idx val="3"/>
          <c:order val="2"/>
          <c:tx>
            <c:strRef>
              <c:f>'Ch3. Demand for patent rights'!$B$136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rights'!$K$136:$U$136</c:f>
              <c:numCache>
                <c:formatCode>#,##0</c:formatCode>
                <c:ptCount val="11"/>
                <c:pt idx="0">
                  <c:v>526412</c:v>
                </c:pt>
                <c:pt idx="1">
                  <c:v>652777</c:v>
                </c:pt>
                <c:pt idx="2">
                  <c:v>825136</c:v>
                </c:pt>
                <c:pt idx="3">
                  <c:v>928177</c:v>
                </c:pt>
                <c:pt idx="4">
                  <c:v>1101864</c:v>
                </c:pt>
                <c:pt idx="5">
                  <c:v>1338503</c:v>
                </c:pt>
                <c:pt idx="6">
                  <c:v>1381594</c:v>
                </c:pt>
                <c:pt idx="7">
                  <c:v>1542002</c:v>
                </c:pt>
                <c:pt idx="8">
                  <c:v>1400661</c:v>
                </c:pt>
                <c:pt idx="9">
                  <c:v>1497159</c:v>
                </c:pt>
                <c:pt idx="10">
                  <c:v>1585663</c:v>
                </c:pt>
              </c:numCache>
            </c:numRef>
          </c:val>
          <c:extLst>
            <c:ext xmlns:c16="http://schemas.microsoft.com/office/drawing/2014/chart" uri="{C3380CC4-5D6E-409C-BE32-E72D297353CC}">
              <c16:uniqueId val="{00000002-7C37-491C-8075-5BBB47271C83}"/>
            </c:ext>
          </c:extLst>
        </c:ser>
        <c:ser>
          <c:idx val="2"/>
          <c:order val="3"/>
          <c:tx>
            <c:strRef>
              <c:f>'Ch3. Demand for patent rights'!$B$135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rights'!$K$135:$U$135</c:f>
              <c:numCache>
                <c:formatCode>#,##0</c:formatCode>
                <c:ptCount val="11"/>
                <c:pt idx="0">
                  <c:v>178924</c:v>
                </c:pt>
                <c:pt idx="1">
                  <c:v>188915</c:v>
                </c:pt>
                <c:pt idx="2">
                  <c:v>204589</c:v>
                </c:pt>
                <c:pt idx="3">
                  <c:v>210292</c:v>
                </c:pt>
                <c:pt idx="4">
                  <c:v>213694</c:v>
                </c:pt>
                <c:pt idx="5">
                  <c:v>208830</c:v>
                </c:pt>
                <c:pt idx="6">
                  <c:v>204775</c:v>
                </c:pt>
                <c:pt idx="7">
                  <c:v>209992</c:v>
                </c:pt>
                <c:pt idx="8">
                  <c:v>218975</c:v>
                </c:pt>
                <c:pt idx="9">
                  <c:v>226759</c:v>
                </c:pt>
                <c:pt idx="10">
                  <c:v>237998</c:v>
                </c:pt>
              </c:numCache>
            </c:numRef>
          </c:val>
          <c:extLst>
            <c:ext xmlns:c16="http://schemas.microsoft.com/office/drawing/2014/chart" uri="{C3380CC4-5D6E-409C-BE32-E72D297353CC}">
              <c16:uniqueId val="{00000003-7C37-491C-8075-5BBB47271C83}"/>
            </c:ext>
          </c:extLst>
        </c:ser>
        <c:ser>
          <c:idx val="1"/>
          <c:order val="4"/>
          <c:tx>
            <c:strRef>
              <c:f>'Ch3. Demand for patent rights'!$B$134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rights'!$K$134:$U$134</c:f>
              <c:numCache>
                <c:formatCode>#,##0</c:formatCode>
                <c:ptCount val="11"/>
                <c:pt idx="0">
                  <c:v>342610</c:v>
                </c:pt>
                <c:pt idx="1">
                  <c:v>342796</c:v>
                </c:pt>
                <c:pt idx="2">
                  <c:v>328436</c:v>
                </c:pt>
                <c:pt idx="3">
                  <c:v>325989</c:v>
                </c:pt>
                <c:pt idx="4">
                  <c:v>318721</c:v>
                </c:pt>
                <c:pt idx="5">
                  <c:v>318381</c:v>
                </c:pt>
                <c:pt idx="6">
                  <c:v>318479</c:v>
                </c:pt>
                <c:pt idx="7">
                  <c:v>313567</c:v>
                </c:pt>
                <c:pt idx="8">
                  <c:v>307969</c:v>
                </c:pt>
                <c:pt idx="9">
                  <c:v>288472</c:v>
                </c:pt>
                <c:pt idx="10">
                  <c:v>289200</c:v>
                </c:pt>
              </c:numCache>
            </c:numRef>
          </c:val>
          <c:extLst>
            <c:ext xmlns:c16="http://schemas.microsoft.com/office/drawing/2014/chart" uri="{C3380CC4-5D6E-409C-BE32-E72D297353CC}">
              <c16:uniqueId val="{00000004-7C37-491C-8075-5BBB47271C83}"/>
            </c:ext>
          </c:extLst>
        </c:ser>
        <c:ser>
          <c:idx val="0"/>
          <c:order val="5"/>
          <c:tx>
            <c:strRef>
              <c:f>'Ch3. Demand for patent rights'!$B$133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rights'!$K$133:$U$133</c:f>
              <c:numCache>
                <c:formatCode>#,##0</c:formatCode>
                <c:ptCount val="11"/>
                <c:pt idx="0">
                  <c:v>5292322</c:v>
                </c:pt>
                <c:pt idx="1">
                  <c:v>5517748</c:v>
                </c:pt>
                <c:pt idx="2">
                  <c:v>5577737</c:v>
                </c:pt>
                <c:pt idx="3">
                  <c:v>5764991</c:v>
                </c:pt>
                <c:pt idx="4">
                  <c:v>6042750</c:v>
                </c:pt>
                <c:pt idx="5">
                  <c:v>6020808</c:v>
                </c:pt>
                <c:pt idx="6">
                  <c:v>6294311</c:v>
                </c:pt>
                <c:pt idx="7">
                  <c:v>6586184</c:v>
                </c:pt>
                <c:pt idx="8">
                  <c:v>6850874</c:v>
                </c:pt>
                <c:pt idx="9">
                  <c:v>6811733</c:v>
                </c:pt>
                <c:pt idx="10">
                  <c:v>7162661</c:v>
                </c:pt>
              </c:numCache>
            </c:numRef>
          </c:val>
          <c:extLst>
            <c:ext xmlns:c16="http://schemas.microsoft.com/office/drawing/2014/chart" uri="{C3380CC4-5D6E-409C-BE32-E72D297353CC}">
              <c16:uniqueId val="{00000005-7C37-491C-8075-5BBB47271C83}"/>
            </c:ext>
          </c:extLst>
        </c:ser>
        <c:ser>
          <c:idx val="6"/>
          <c:order val="6"/>
          <c:tx>
            <c:strRef>
              <c:f>'Ch3. Demand for patent rights'!$B$139</c:f>
              <c:strCache>
                <c:ptCount val="1"/>
                <c:pt idx="0">
                  <c:v>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rights'!$K$132:$U$132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Demand for patent rights'!$K$139:$U$139</c:f>
              <c:numCache>
                <c:formatCode>#,##0</c:formatCode>
                <c:ptCount val="11"/>
                <c:pt idx="0">
                  <c:v>7243219</c:v>
                </c:pt>
                <c:pt idx="1">
                  <c:v>7689415</c:v>
                </c:pt>
                <c:pt idx="2">
                  <c:v>7975545</c:v>
                </c:pt>
                <c:pt idx="3">
                  <c:v>8264570</c:v>
                </c:pt>
                <c:pt idx="4">
                  <c:v>8722722</c:v>
                </c:pt>
                <c:pt idx="5">
                  <c:v>8947061</c:v>
                </c:pt>
                <c:pt idx="6">
                  <c:v>9258981</c:v>
                </c:pt>
                <c:pt idx="7">
                  <c:v>9715184</c:v>
                </c:pt>
                <c:pt idx="8">
                  <c:v>9874005</c:v>
                </c:pt>
                <c:pt idx="9">
                  <c:v>9902937</c:v>
                </c:pt>
                <c:pt idx="10">
                  <c:v>10311548</c:v>
                </c:pt>
              </c:numCache>
            </c:numRef>
          </c:val>
          <c:extLst>
            <c:ext xmlns:c16="http://schemas.microsoft.com/office/drawing/2014/chart" uri="{C3380CC4-5D6E-409C-BE32-E72D297353CC}">
              <c16:uniqueId val="{00000006-7C37-491C-8075-5BBB47271C83}"/>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05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627656205904557"/>
          <c:y val="0.26993731088936074"/>
          <c:w val="0.12611797008865314"/>
          <c:h val="0.5515797068908869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Fig.3.11: WORLDWIDE PATENTS GRANTED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patents'!$A$65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patents'!$I$65:$AB$65</c:f>
              <c:numCache>
                <c:formatCode>#,##0</c:formatCode>
                <c:ptCount val="20"/>
                <c:pt idx="0">
                  <c:v>54767</c:v>
                </c:pt>
                <c:pt idx="1">
                  <c:v>61551</c:v>
                </c:pt>
                <c:pt idx="2">
                  <c:v>55348</c:v>
                </c:pt>
                <c:pt idx="3">
                  <c:v>51344</c:v>
                </c:pt>
                <c:pt idx="4">
                  <c:v>63535</c:v>
                </c:pt>
                <c:pt idx="5">
                  <c:v>61947</c:v>
                </c:pt>
                <c:pt idx="6">
                  <c:v>94973</c:v>
                </c:pt>
                <c:pt idx="7">
                  <c:v>143630</c:v>
                </c:pt>
                <c:pt idx="8">
                  <c:v>77077</c:v>
                </c:pt>
                <c:pt idx="9">
                  <c:v>75277</c:v>
                </c:pt>
                <c:pt idx="10">
                  <c:v>87161</c:v>
                </c:pt>
                <c:pt idx="11">
                  <c:v>91833</c:v>
                </c:pt>
                <c:pt idx="12">
                  <c:v>97213</c:v>
                </c:pt>
                <c:pt idx="13">
                  <c:v>96034</c:v>
                </c:pt>
                <c:pt idx="14">
                  <c:v>94298</c:v>
                </c:pt>
                <c:pt idx="15">
                  <c:v>96025</c:v>
                </c:pt>
                <c:pt idx="16">
                  <c:v>99065</c:v>
                </c:pt>
                <c:pt idx="17">
                  <c:v>104172</c:v>
                </c:pt>
                <c:pt idx="18">
                  <c:v>113199</c:v>
                </c:pt>
                <c:pt idx="19">
                  <c:v>110238</c:v>
                </c:pt>
              </c:numCache>
            </c:numRef>
          </c:val>
          <c:extLst>
            <c:ext xmlns:c16="http://schemas.microsoft.com/office/drawing/2014/chart" uri="{C3380CC4-5D6E-409C-BE32-E72D297353CC}">
              <c16:uniqueId val="{00000005-8CA1-46EB-AFF8-DC55D219AE45}"/>
            </c:ext>
          </c:extLst>
        </c:ser>
        <c:ser>
          <c:idx val="1"/>
          <c:order val="1"/>
          <c:tx>
            <c:strRef>
              <c:f>'Ch3. Granted patents'!$A$64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patents'!$I$64:$AB$64</c:f>
              <c:numCache>
                <c:formatCode>#,##0</c:formatCode>
                <c:ptCount val="20"/>
                <c:pt idx="0">
                  <c:v>139817</c:v>
                </c:pt>
                <c:pt idx="1">
                  <c:v>148567</c:v>
                </c:pt>
                <c:pt idx="2">
                  <c:v>143484</c:v>
                </c:pt>
                <c:pt idx="3">
                  <c:v>132816</c:v>
                </c:pt>
                <c:pt idx="4">
                  <c:v>155354</c:v>
                </c:pt>
                <c:pt idx="5">
                  <c:v>146709</c:v>
                </c:pt>
                <c:pt idx="6">
                  <c:v>147154</c:v>
                </c:pt>
                <c:pt idx="7">
                  <c:v>140631</c:v>
                </c:pt>
                <c:pt idx="8">
                  <c:v>185873</c:v>
                </c:pt>
                <c:pt idx="9">
                  <c:v>200503</c:v>
                </c:pt>
                <c:pt idx="10">
                  <c:v>226582</c:v>
                </c:pt>
                <c:pt idx="11">
                  <c:v>241251</c:v>
                </c:pt>
                <c:pt idx="12">
                  <c:v>251126</c:v>
                </c:pt>
                <c:pt idx="13">
                  <c:v>252208</c:v>
                </c:pt>
                <c:pt idx="14">
                  <c:v>270107</c:v>
                </c:pt>
                <c:pt idx="15">
                  <c:v>277270</c:v>
                </c:pt>
                <c:pt idx="16">
                  <c:v>278266</c:v>
                </c:pt>
                <c:pt idx="17">
                  <c:v>302767</c:v>
                </c:pt>
                <c:pt idx="18">
                  <c:v>299831</c:v>
                </c:pt>
                <c:pt idx="19">
                  <c:v>293986</c:v>
                </c:pt>
              </c:numCache>
            </c:numRef>
          </c:val>
          <c:extLst>
            <c:ext xmlns:c16="http://schemas.microsoft.com/office/drawing/2014/chart" uri="{C3380CC4-5D6E-409C-BE32-E72D297353CC}">
              <c16:uniqueId val="{00000004-8CA1-46EB-AFF8-DC55D219AE45}"/>
            </c:ext>
          </c:extLst>
        </c:ser>
        <c:ser>
          <c:idx val="2"/>
          <c:order val="2"/>
          <c:tx>
            <c:strRef>
              <c:f>'Ch3. Granted patents'!$A$63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patents'!$I$63:$AB$63</c:f>
              <c:numCache>
                <c:formatCode>#,##0</c:formatCode>
                <c:ptCount val="20"/>
                <c:pt idx="0">
                  <c:v>6300</c:v>
                </c:pt>
                <c:pt idx="1">
                  <c:v>12003</c:v>
                </c:pt>
                <c:pt idx="2">
                  <c:v>18942</c:v>
                </c:pt>
                <c:pt idx="3">
                  <c:v>21449</c:v>
                </c:pt>
                <c:pt idx="4">
                  <c:v>26292</c:v>
                </c:pt>
                <c:pt idx="5">
                  <c:v>33411</c:v>
                </c:pt>
                <c:pt idx="6">
                  <c:v>48815</c:v>
                </c:pt>
                <c:pt idx="7">
                  <c:v>68392</c:v>
                </c:pt>
                <c:pt idx="8">
                  <c:v>84538</c:v>
                </c:pt>
                <c:pt idx="9">
                  <c:v>118116</c:v>
                </c:pt>
                <c:pt idx="10">
                  <c:v>152022</c:v>
                </c:pt>
                <c:pt idx="11">
                  <c:v>154324</c:v>
                </c:pt>
                <c:pt idx="12">
                  <c:v>176004</c:v>
                </c:pt>
                <c:pt idx="13">
                  <c:v>278233</c:v>
                </c:pt>
                <c:pt idx="14">
                  <c:v>321872</c:v>
                </c:pt>
                <c:pt idx="15">
                  <c:v>352004</c:v>
                </c:pt>
                <c:pt idx="16">
                  <c:v>376508</c:v>
                </c:pt>
                <c:pt idx="17">
                  <c:v>399005</c:v>
                </c:pt>
                <c:pt idx="18">
                  <c:v>483948</c:v>
                </c:pt>
                <c:pt idx="19">
                  <c:v>638661</c:v>
                </c:pt>
              </c:numCache>
            </c:numRef>
          </c:val>
          <c:extLst>
            <c:ext xmlns:c16="http://schemas.microsoft.com/office/drawing/2014/chart" uri="{C3380CC4-5D6E-409C-BE32-E72D297353CC}">
              <c16:uniqueId val="{00000003-8CA1-46EB-AFF8-DC55D219AE45}"/>
            </c:ext>
          </c:extLst>
        </c:ser>
        <c:ser>
          <c:idx val="3"/>
          <c:order val="3"/>
          <c:tx>
            <c:strRef>
              <c:f>'Ch3. Granted patents'!$A$62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patents'!$I$62:$AB$62</c:f>
              <c:numCache>
                <c:formatCode>#,##0</c:formatCode>
                <c:ptCount val="20"/>
                <c:pt idx="0">
                  <c:v>36929</c:v>
                </c:pt>
                <c:pt idx="1">
                  <c:v>39564</c:v>
                </c:pt>
                <c:pt idx="2">
                  <c:v>45354</c:v>
                </c:pt>
                <c:pt idx="3">
                  <c:v>63763</c:v>
                </c:pt>
                <c:pt idx="4">
                  <c:v>102645</c:v>
                </c:pt>
                <c:pt idx="5">
                  <c:v>106623</c:v>
                </c:pt>
                <c:pt idx="6">
                  <c:v>79567</c:v>
                </c:pt>
                <c:pt idx="7">
                  <c:v>57124</c:v>
                </c:pt>
                <c:pt idx="8">
                  <c:v>75525</c:v>
                </c:pt>
                <c:pt idx="9">
                  <c:v>97711</c:v>
                </c:pt>
                <c:pt idx="10">
                  <c:v>112058</c:v>
                </c:pt>
                <c:pt idx="11">
                  <c:v>123771</c:v>
                </c:pt>
                <c:pt idx="12">
                  <c:v>127263</c:v>
                </c:pt>
                <c:pt idx="13">
                  <c:v>109007</c:v>
                </c:pt>
                <c:pt idx="14">
                  <c:v>120334</c:v>
                </c:pt>
                <c:pt idx="15">
                  <c:v>131442</c:v>
                </c:pt>
                <c:pt idx="16">
                  <c:v>131711</c:v>
                </c:pt>
                <c:pt idx="17">
                  <c:v>141393</c:v>
                </c:pt>
                <c:pt idx="18">
                  <c:v>150963</c:v>
                </c:pt>
                <c:pt idx="19">
                  <c:v>158207</c:v>
                </c:pt>
              </c:numCache>
            </c:numRef>
          </c:val>
          <c:extLst>
            <c:ext xmlns:c16="http://schemas.microsoft.com/office/drawing/2014/chart" uri="{C3380CC4-5D6E-409C-BE32-E72D297353CC}">
              <c16:uniqueId val="{00000002-8CA1-46EB-AFF8-DC55D219AE45}"/>
            </c:ext>
          </c:extLst>
        </c:ser>
        <c:ser>
          <c:idx val="4"/>
          <c:order val="4"/>
          <c:tx>
            <c:strRef>
              <c:f>'Ch3. Granted patents'!$A$61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patents'!$I$61:$AB$61</c:f>
              <c:numCache>
                <c:formatCode>#,##0</c:formatCode>
                <c:ptCount val="20"/>
                <c:pt idx="0">
                  <c:v>174411</c:v>
                </c:pt>
                <c:pt idx="1">
                  <c:v>182776</c:v>
                </c:pt>
                <c:pt idx="2">
                  <c:v>187697</c:v>
                </c:pt>
                <c:pt idx="3">
                  <c:v>185009</c:v>
                </c:pt>
                <c:pt idx="4">
                  <c:v>217563</c:v>
                </c:pt>
                <c:pt idx="5">
                  <c:v>232620</c:v>
                </c:pt>
                <c:pt idx="6">
                  <c:v>239306</c:v>
                </c:pt>
                <c:pt idx="7">
                  <c:v>225906</c:v>
                </c:pt>
                <c:pt idx="8">
                  <c:v>284996</c:v>
                </c:pt>
                <c:pt idx="9">
                  <c:v>304584</c:v>
                </c:pt>
                <c:pt idx="10">
                  <c:v>343012</c:v>
                </c:pt>
                <c:pt idx="11">
                  <c:v>339676</c:v>
                </c:pt>
                <c:pt idx="12">
                  <c:v>296359</c:v>
                </c:pt>
                <c:pt idx="13">
                  <c:v>269951</c:v>
                </c:pt>
                <c:pt idx="14">
                  <c:v>287770</c:v>
                </c:pt>
                <c:pt idx="15">
                  <c:v>283849</c:v>
                </c:pt>
                <c:pt idx="16">
                  <c:v>282050</c:v>
                </c:pt>
                <c:pt idx="17">
                  <c:v>282535</c:v>
                </c:pt>
                <c:pt idx="18">
                  <c:v>277981</c:v>
                </c:pt>
                <c:pt idx="19">
                  <c:v>277144</c:v>
                </c:pt>
              </c:numCache>
            </c:numRef>
          </c:val>
          <c:extLst>
            <c:ext xmlns:c16="http://schemas.microsoft.com/office/drawing/2014/chart" uri="{C3380CC4-5D6E-409C-BE32-E72D297353CC}">
              <c16:uniqueId val="{00000001-8CA1-46EB-AFF8-DC55D219AE45}"/>
            </c:ext>
          </c:extLst>
        </c:ser>
        <c:ser>
          <c:idx val="5"/>
          <c:order val="5"/>
          <c:tx>
            <c:strRef>
              <c:f>'Ch3. Granted patents'!$A$60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patents'!$I$60:$AB$60</c:f>
              <c:numCache>
                <c:formatCode>#,##0</c:formatCode>
                <c:ptCount val="20"/>
                <c:pt idx="0">
                  <c:v>130863</c:v>
                </c:pt>
                <c:pt idx="1">
                  <c:v>152288</c:v>
                </c:pt>
                <c:pt idx="2">
                  <c:v>142022</c:v>
                </c:pt>
                <c:pt idx="3">
                  <c:v>138686</c:v>
                </c:pt>
                <c:pt idx="4">
                  <c:v>151432</c:v>
                </c:pt>
                <c:pt idx="5">
                  <c:v>152535</c:v>
                </c:pt>
                <c:pt idx="6">
                  <c:v>146583</c:v>
                </c:pt>
                <c:pt idx="7">
                  <c:v>152043</c:v>
                </c:pt>
                <c:pt idx="8">
                  <c:v>163979</c:v>
                </c:pt>
                <c:pt idx="9">
                  <c:v>186630</c:v>
                </c:pt>
                <c:pt idx="10">
                  <c:v>203923</c:v>
                </c:pt>
                <c:pt idx="11">
                  <c:v>218006</c:v>
                </c:pt>
                <c:pt idx="12">
                  <c:v>219231</c:v>
                </c:pt>
                <c:pt idx="13">
                  <c:v>224805</c:v>
                </c:pt>
                <c:pt idx="14">
                  <c:v>248238</c:v>
                </c:pt>
                <c:pt idx="15">
                  <c:v>246110</c:v>
                </c:pt>
                <c:pt idx="16">
                  <c:v>253530</c:v>
                </c:pt>
                <c:pt idx="17">
                  <c:v>267740</c:v>
                </c:pt>
                <c:pt idx="18">
                  <c:v>268315</c:v>
                </c:pt>
                <c:pt idx="19">
                  <c:v>269247</c:v>
                </c:pt>
              </c:numCache>
            </c:numRef>
          </c:val>
          <c:extLst>
            <c:ext xmlns:c16="http://schemas.microsoft.com/office/drawing/2014/chart" uri="{C3380CC4-5D6E-409C-BE32-E72D297353CC}">
              <c16:uniqueId val="{00000000-8CA1-46EB-AFF8-DC55D219AE45}"/>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patents'!$I$59:$AB$59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patents'!$I$66:$AB$66</c:f>
              <c:numCache>
                <c:formatCode>#,##0</c:formatCode>
                <c:ptCount val="20"/>
                <c:pt idx="0">
                  <c:v>543087</c:v>
                </c:pt>
                <c:pt idx="1">
                  <c:v>596749</c:v>
                </c:pt>
                <c:pt idx="2">
                  <c:v>592847</c:v>
                </c:pt>
                <c:pt idx="3">
                  <c:v>593067</c:v>
                </c:pt>
                <c:pt idx="4">
                  <c:v>716821</c:v>
                </c:pt>
                <c:pt idx="5">
                  <c:v>733845</c:v>
                </c:pt>
                <c:pt idx="6">
                  <c:v>756398</c:v>
                </c:pt>
                <c:pt idx="7">
                  <c:v>787726</c:v>
                </c:pt>
                <c:pt idx="8">
                  <c:v>871988</c:v>
                </c:pt>
                <c:pt idx="9">
                  <c:v>982821</c:v>
                </c:pt>
                <c:pt idx="10">
                  <c:v>1124758</c:v>
                </c:pt>
                <c:pt idx="11">
                  <c:v>1168861</c:v>
                </c:pt>
                <c:pt idx="12">
                  <c:v>1167196</c:v>
                </c:pt>
                <c:pt idx="13">
                  <c:v>1230238</c:v>
                </c:pt>
                <c:pt idx="14">
                  <c:v>1342619</c:v>
                </c:pt>
                <c:pt idx="15">
                  <c:v>1386700</c:v>
                </c:pt>
                <c:pt idx="16">
                  <c:v>1421130</c:v>
                </c:pt>
                <c:pt idx="17">
                  <c:v>1497612</c:v>
                </c:pt>
                <c:pt idx="18">
                  <c:v>1594237</c:v>
                </c:pt>
                <c:pt idx="19">
                  <c:v>1747483</c:v>
                </c:pt>
              </c:numCache>
            </c:numRef>
          </c:val>
          <c:extLst>
            <c:ext xmlns:c16="http://schemas.microsoft.com/office/drawing/2014/chart" uri="{C3380CC4-5D6E-409C-BE32-E72D297353CC}">
              <c16:uniqueId val="{00000006-8CA1-46EB-AFF8-DC55D219AE45}"/>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8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Fig.3.12: WORLDWIDE PATENTS GRANTED - FILING BLOC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patents'!$A$75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patents'!$I$75:$AB$75</c:f>
              <c:numCache>
                <c:formatCode>#,##0</c:formatCode>
                <c:ptCount val="20"/>
                <c:pt idx="0">
                  <c:v>85973</c:v>
                </c:pt>
                <c:pt idx="1">
                  <c:v>86868</c:v>
                </c:pt>
                <c:pt idx="2">
                  <c:v>84268</c:v>
                </c:pt>
                <c:pt idx="3">
                  <c:v>80288</c:v>
                </c:pt>
                <c:pt idx="4">
                  <c:v>96269</c:v>
                </c:pt>
                <c:pt idx="5">
                  <c:v>96908</c:v>
                </c:pt>
                <c:pt idx="6">
                  <c:v>128833</c:v>
                </c:pt>
                <c:pt idx="7">
                  <c:v>119383</c:v>
                </c:pt>
                <c:pt idx="8">
                  <c:v>121518</c:v>
                </c:pt>
                <c:pt idx="9">
                  <c:v>137503</c:v>
                </c:pt>
                <c:pt idx="10">
                  <c:v>146465</c:v>
                </c:pt>
                <c:pt idx="11">
                  <c:v>154571</c:v>
                </c:pt>
                <c:pt idx="12">
                  <c:v>155016</c:v>
                </c:pt>
                <c:pt idx="13">
                  <c:v>155568</c:v>
                </c:pt>
                <c:pt idx="14">
                  <c:v>166860</c:v>
                </c:pt>
                <c:pt idx="15">
                  <c:v>164209</c:v>
                </c:pt>
                <c:pt idx="16">
                  <c:v>179879</c:v>
                </c:pt>
                <c:pt idx="17">
                  <c:v>183530</c:v>
                </c:pt>
                <c:pt idx="18">
                  <c:v>198941</c:v>
                </c:pt>
                <c:pt idx="19">
                  <c:v>211924</c:v>
                </c:pt>
              </c:numCache>
            </c:numRef>
          </c:val>
          <c:extLst>
            <c:ext xmlns:c16="http://schemas.microsoft.com/office/drawing/2014/chart" uri="{C3380CC4-5D6E-409C-BE32-E72D297353CC}">
              <c16:uniqueId val="{00000005-77C2-4154-B55C-599CBBBD69F1}"/>
            </c:ext>
          </c:extLst>
        </c:ser>
        <c:ser>
          <c:idx val="1"/>
          <c:order val="1"/>
          <c:tx>
            <c:strRef>
              <c:f>'Ch3. Granted patents'!$A$74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patents'!$I$74:$AB$74</c:f>
              <c:numCache>
                <c:formatCode>#,##0</c:formatCode>
                <c:ptCount val="20"/>
                <c:pt idx="0">
                  <c:v>168928</c:v>
                </c:pt>
                <c:pt idx="1">
                  <c:v>170443</c:v>
                </c:pt>
                <c:pt idx="2">
                  <c:v>165607</c:v>
                </c:pt>
                <c:pt idx="3">
                  <c:v>144767</c:v>
                </c:pt>
                <c:pt idx="4">
                  <c:v>175439</c:v>
                </c:pt>
                <c:pt idx="5">
                  <c:v>158838</c:v>
                </c:pt>
                <c:pt idx="6">
                  <c:v>157772</c:v>
                </c:pt>
                <c:pt idx="7">
                  <c:v>167349</c:v>
                </c:pt>
                <c:pt idx="8">
                  <c:v>219614</c:v>
                </c:pt>
                <c:pt idx="9">
                  <c:v>224505</c:v>
                </c:pt>
                <c:pt idx="10">
                  <c:v>253155</c:v>
                </c:pt>
                <c:pt idx="11">
                  <c:v>277835</c:v>
                </c:pt>
                <c:pt idx="12">
                  <c:v>300678</c:v>
                </c:pt>
                <c:pt idx="13">
                  <c:v>298407</c:v>
                </c:pt>
                <c:pt idx="14">
                  <c:v>303049</c:v>
                </c:pt>
                <c:pt idx="15">
                  <c:v>318829</c:v>
                </c:pt>
                <c:pt idx="16">
                  <c:v>307759</c:v>
                </c:pt>
                <c:pt idx="17">
                  <c:v>354430</c:v>
                </c:pt>
                <c:pt idx="18">
                  <c:v>351993</c:v>
                </c:pt>
                <c:pt idx="19">
                  <c:v>327307</c:v>
                </c:pt>
              </c:numCache>
            </c:numRef>
          </c:val>
          <c:extLst>
            <c:ext xmlns:c16="http://schemas.microsoft.com/office/drawing/2014/chart" uri="{C3380CC4-5D6E-409C-BE32-E72D297353CC}">
              <c16:uniqueId val="{00000004-77C2-4154-B55C-599CBBBD69F1}"/>
            </c:ext>
          </c:extLst>
        </c:ser>
        <c:ser>
          <c:idx val="2"/>
          <c:order val="2"/>
          <c:tx>
            <c:strRef>
              <c:f>'Ch3. Granted patents'!$A$73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patents'!$I$73:$AB$73</c:f>
              <c:numCache>
                <c:formatCode>#,##0</c:formatCode>
                <c:ptCount val="20"/>
                <c:pt idx="0">
                  <c:v>21257</c:v>
                </c:pt>
                <c:pt idx="1">
                  <c:v>49356</c:v>
                </c:pt>
                <c:pt idx="2">
                  <c:v>49360</c:v>
                </c:pt>
                <c:pt idx="3">
                  <c:v>53305</c:v>
                </c:pt>
                <c:pt idx="4">
                  <c:v>57786</c:v>
                </c:pt>
                <c:pt idx="5">
                  <c:v>67948</c:v>
                </c:pt>
                <c:pt idx="6">
                  <c:v>93706</c:v>
                </c:pt>
                <c:pt idx="7">
                  <c:v>128489</c:v>
                </c:pt>
                <c:pt idx="8">
                  <c:v>135110</c:v>
                </c:pt>
                <c:pt idx="9">
                  <c:v>172113</c:v>
                </c:pt>
                <c:pt idx="10">
                  <c:v>217105</c:v>
                </c:pt>
                <c:pt idx="11">
                  <c:v>207688</c:v>
                </c:pt>
                <c:pt idx="12">
                  <c:v>233228</c:v>
                </c:pt>
                <c:pt idx="13">
                  <c:v>359316</c:v>
                </c:pt>
                <c:pt idx="14">
                  <c:v>404208</c:v>
                </c:pt>
                <c:pt idx="15">
                  <c:v>420144</c:v>
                </c:pt>
                <c:pt idx="16">
                  <c:v>432147</c:v>
                </c:pt>
                <c:pt idx="17">
                  <c:v>452804</c:v>
                </c:pt>
                <c:pt idx="18">
                  <c:v>530127</c:v>
                </c:pt>
                <c:pt idx="19">
                  <c:v>695946</c:v>
                </c:pt>
              </c:numCache>
            </c:numRef>
          </c:val>
          <c:extLst>
            <c:ext xmlns:c16="http://schemas.microsoft.com/office/drawing/2014/chart" uri="{C3380CC4-5D6E-409C-BE32-E72D297353CC}">
              <c16:uniqueId val="{00000003-77C2-4154-B55C-599CBBBD69F1}"/>
            </c:ext>
          </c:extLst>
        </c:ser>
        <c:ser>
          <c:idx val="3"/>
          <c:order val="3"/>
          <c:tx>
            <c:strRef>
              <c:f>'Ch3. Granted patents'!$A$72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patents'!$I$72:$AB$72</c:f>
              <c:numCache>
                <c:formatCode>#,##0</c:formatCode>
                <c:ptCount val="20"/>
                <c:pt idx="0">
                  <c:v>45046</c:v>
                </c:pt>
                <c:pt idx="1">
                  <c:v>44178</c:v>
                </c:pt>
                <c:pt idx="2">
                  <c:v>49068</c:v>
                </c:pt>
                <c:pt idx="3">
                  <c:v>73512</c:v>
                </c:pt>
                <c:pt idx="4">
                  <c:v>120790</c:v>
                </c:pt>
                <c:pt idx="5">
                  <c:v>123705</c:v>
                </c:pt>
                <c:pt idx="6">
                  <c:v>83523</c:v>
                </c:pt>
                <c:pt idx="7">
                  <c:v>56732</c:v>
                </c:pt>
                <c:pt idx="8">
                  <c:v>68843</c:v>
                </c:pt>
                <c:pt idx="9">
                  <c:v>94720</c:v>
                </c:pt>
                <c:pt idx="10">
                  <c:v>113467</c:v>
                </c:pt>
                <c:pt idx="11">
                  <c:v>127330</c:v>
                </c:pt>
                <c:pt idx="12">
                  <c:v>129786</c:v>
                </c:pt>
                <c:pt idx="13">
                  <c:v>101873</c:v>
                </c:pt>
                <c:pt idx="14">
                  <c:v>108875</c:v>
                </c:pt>
                <c:pt idx="15">
                  <c:v>120662</c:v>
                </c:pt>
                <c:pt idx="16">
                  <c:v>119012</c:v>
                </c:pt>
                <c:pt idx="17">
                  <c:v>125661</c:v>
                </c:pt>
                <c:pt idx="18">
                  <c:v>134766</c:v>
                </c:pt>
                <c:pt idx="19">
                  <c:v>145882</c:v>
                </c:pt>
              </c:numCache>
            </c:numRef>
          </c:val>
          <c:extLst>
            <c:ext xmlns:c16="http://schemas.microsoft.com/office/drawing/2014/chart" uri="{C3380CC4-5D6E-409C-BE32-E72D297353CC}">
              <c16:uniqueId val="{00000002-77C2-4154-B55C-599CBBBD69F1}"/>
            </c:ext>
          </c:extLst>
        </c:ser>
        <c:ser>
          <c:idx val="4"/>
          <c:order val="4"/>
          <c:tx>
            <c:strRef>
              <c:f>'Ch3. Granted patents'!$A$71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patents'!$I$71:$AB$71</c:f>
              <c:numCache>
                <c:formatCode>#,##0</c:formatCode>
                <c:ptCount val="20"/>
                <c:pt idx="0">
                  <c:v>119192</c:v>
                </c:pt>
                <c:pt idx="1">
                  <c:v>122522</c:v>
                </c:pt>
                <c:pt idx="2">
                  <c:v>124192</c:v>
                </c:pt>
                <c:pt idx="3">
                  <c:v>122944</c:v>
                </c:pt>
                <c:pt idx="4">
                  <c:v>141399</c:v>
                </c:pt>
                <c:pt idx="5">
                  <c:v>164954</c:v>
                </c:pt>
                <c:pt idx="6">
                  <c:v>176950</c:v>
                </c:pt>
                <c:pt idx="7">
                  <c:v>193349</c:v>
                </c:pt>
                <c:pt idx="8">
                  <c:v>222693</c:v>
                </c:pt>
                <c:pt idx="9">
                  <c:v>238323</c:v>
                </c:pt>
                <c:pt idx="10">
                  <c:v>274791</c:v>
                </c:pt>
                <c:pt idx="11">
                  <c:v>277079</c:v>
                </c:pt>
                <c:pt idx="12">
                  <c:v>227142</c:v>
                </c:pt>
                <c:pt idx="13">
                  <c:v>189358</c:v>
                </c:pt>
                <c:pt idx="14">
                  <c:v>203087</c:v>
                </c:pt>
                <c:pt idx="15">
                  <c:v>199577</c:v>
                </c:pt>
                <c:pt idx="16">
                  <c:v>194525</c:v>
                </c:pt>
                <c:pt idx="17">
                  <c:v>179910</c:v>
                </c:pt>
                <c:pt idx="18">
                  <c:v>179383</c:v>
                </c:pt>
                <c:pt idx="19">
                  <c:v>184372</c:v>
                </c:pt>
              </c:numCache>
            </c:numRef>
          </c:val>
          <c:extLst>
            <c:ext xmlns:c16="http://schemas.microsoft.com/office/drawing/2014/chart" uri="{C3380CC4-5D6E-409C-BE32-E72D297353CC}">
              <c16:uniqueId val="{00000001-77C2-4154-B55C-599CBBBD69F1}"/>
            </c:ext>
          </c:extLst>
        </c:ser>
        <c:ser>
          <c:idx val="5"/>
          <c:order val="5"/>
          <c:tx>
            <c:strRef>
              <c:f>'Ch3. Granted patents'!$A$70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patents'!$I$70:$AA$70</c:f>
              <c:numCache>
                <c:formatCode>#,##0</c:formatCode>
                <c:ptCount val="19"/>
                <c:pt idx="0">
                  <c:v>102691</c:v>
                </c:pt>
                <c:pt idx="1">
                  <c:v>123382</c:v>
                </c:pt>
                <c:pt idx="2">
                  <c:v>120352</c:v>
                </c:pt>
                <c:pt idx="3">
                  <c:v>118251</c:v>
                </c:pt>
                <c:pt idx="4">
                  <c:v>125138</c:v>
                </c:pt>
                <c:pt idx="5">
                  <c:v>121492</c:v>
                </c:pt>
                <c:pt idx="6">
                  <c:v>115614</c:v>
                </c:pt>
                <c:pt idx="7">
                  <c:v>122424</c:v>
                </c:pt>
                <c:pt idx="8">
                  <c:v>104210</c:v>
                </c:pt>
                <c:pt idx="9">
                  <c:v>115657</c:v>
                </c:pt>
                <c:pt idx="10">
                  <c:v>119775</c:v>
                </c:pt>
                <c:pt idx="11">
                  <c:v>124358</c:v>
                </c:pt>
                <c:pt idx="12">
                  <c:v>121346</c:v>
                </c:pt>
                <c:pt idx="13">
                  <c:v>125716</c:v>
                </c:pt>
                <c:pt idx="14">
                  <c:v>156540</c:v>
                </c:pt>
                <c:pt idx="15">
                  <c:v>163279</c:v>
                </c:pt>
                <c:pt idx="16">
                  <c:v>187808</c:v>
                </c:pt>
                <c:pt idx="17">
                  <c:v>201277</c:v>
                </c:pt>
                <c:pt idx="18">
                  <c:v>199027</c:v>
                </c:pt>
              </c:numCache>
            </c:numRef>
          </c:val>
          <c:extLst>
            <c:ext xmlns:c16="http://schemas.microsoft.com/office/drawing/2014/chart" uri="{C3380CC4-5D6E-409C-BE32-E72D297353CC}">
              <c16:uniqueId val="{00000000-77C2-4154-B55C-599CBBBD69F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patents'!$I$69:$AB$69</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patents'!$I$76:$AB$76</c:f>
              <c:numCache>
                <c:formatCode>#,##0</c:formatCode>
                <c:ptCount val="20"/>
                <c:pt idx="0">
                  <c:v>543087</c:v>
                </c:pt>
                <c:pt idx="1">
                  <c:v>596749</c:v>
                </c:pt>
                <c:pt idx="2">
                  <c:v>592847</c:v>
                </c:pt>
                <c:pt idx="3">
                  <c:v>593067</c:v>
                </c:pt>
                <c:pt idx="4">
                  <c:v>716821</c:v>
                </c:pt>
                <c:pt idx="5">
                  <c:v>733845</c:v>
                </c:pt>
                <c:pt idx="6">
                  <c:v>756398</c:v>
                </c:pt>
                <c:pt idx="7">
                  <c:v>787726</c:v>
                </c:pt>
                <c:pt idx="8">
                  <c:v>871988</c:v>
                </c:pt>
                <c:pt idx="9">
                  <c:v>982821</c:v>
                </c:pt>
                <c:pt idx="10">
                  <c:v>1124758</c:v>
                </c:pt>
                <c:pt idx="11">
                  <c:v>1168861</c:v>
                </c:pt>
                <c:pt idx="12">
                  <c:v>1167196</c:v>
                </c:pt>
                <c:pt idx="13">
                  <c:v>1230238</c:v>
                </c:pt>
                <c:pt idx="14">
                  <c:v>1342619</c:v>
                </c:pt>
                <c:pt idx="15">
                  <c:v>1386700</c:v>
                </c:pt>
                <c:pt idx="16">
                  <c:v>1421130</c:v>
                </c:pt>
                <c:pt idx="17">
                  <c:v>1497612</c:v>
                </c:pt>
                <c:pt idx="18">
                  <c:v>1594237</c:v>
                </c:pt>
                <c:pt idx="19">
                  <c:v>1747483</c:v>
                </c:pt>
              </c:numCache>
            </c:numRef>
          </c:val>
          <c:extLst>
            <c:ext xmlns:c16="http://schemas.microsoft.com/office/drawing/2014/chart" uri="{C3380CC4-5D6E-409C-BE32-E72D297353CC}">
              <c16:uniqueId val="{00000006-77C2-4154-B55C-599CBBBD69F1}"/>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8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Fig.3.11: WORLDWIDE PATENTS GRANTED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52380952380951E-2"/>
          <c:y val="0.11081980110249755"/>
          <c:w val="0.84855208098987622"/>
          <c:h val="0.80876671644083997"/>
        </c:manualLayout>
      </c:layout>
      <c:barChart>
        <c:barDir val="col"/>
        <c:grouping val="stacked"/>
        <c:varyColors val="0"/>
        <c:ser>
          <c:idx val="0"/>
          <c:order val="0"/>
          <c:tx>
            <c:strRef>
              <c:f>'Ch3. Granted patents'!$A$65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patents'!$R$65:$AB$65</c:f>
              <c:numCache>
                <c:formatCode>#,##0</c:formatCode>
                <c:ptCount val="11"/>
                <c:pt idx="0">
                  <c:v>75277</c:v>
                </c:pt>
                <c:pt idx="1">
                  <c:v>87161</c:v>
                </c:pt>
                <c:pt idx="2">
                  <c:v>91833</c:v>
                </c:pt>
                <c:pt idx="3">
                  <c:v>97213</c:v>
                </c:pt>
                <c:pt idx="4">
                  <c:v>96034</c:v>
                </c:pt>
                <c:pt idx="5">
                  <c:v>94298</c:v>
                </c:pt>
                <c:pt idx="6">
                  <c:v>96025</c:v>
                </c:pt>
                <c:pt idx="7">
                  <c:v>99065</c:v>
                </c:pt>
                <c:pt idx="8">
                  <c:v>104172</c:v>
                </c:pt>
                <c:pt idx="9">
                  <c:v>113199</c:v>
                </c:pt>
                <c:pt idx="10">
                  <c:v>110238</c:v>
                </c:pt>
              </c:numCache>
            </c:numRef>
          </c:val>
          <c:extLst>
            <c:ext xmlns:c16="http://schemas.microsoft.com/office/drawing/2014/chart" uri="{C3380CC4-5D6E-409C-BE32-E72D297353CC}">
              <c16:uniqueId val="{00000000-AE63-4D27-B762-B2019FB6BAB5}"/>
            </c:ext>
          </c:extLst>
        </c:ser>
        <c:ser>
          <c:idx val="1"/>
          <c:order val="1"/>
          <c:tx>
            <c:strRef>
              <c:f>'Ch3. Granted patents'!$A$64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patents'!$R$64:$AB$64</c:f>
              <c:numCache>
                <c:formatCode>#,##0</c:formatCode>
                <c:ptCount val="11"/>
                <c:pt idx="0">
                  <c:v>200503</c:v>
                </c:pt>
                <c:pt idx="1">
                  <c:v>226582</c:v>
                </c:pt>
                <c:pt idx="2">
                  <c:v>241251</c:v>
                </c:pt>
                <c:pt idx="3">
                  <c:v>251126</c:v>
                </c:pt>
                <c:pt idx="4">
                  <c:v>252208</c:v>
                </c:pt>
                <c:pt idx="5">
                  <c:v>270107</c:v>
                </c:pt>
                <c:pt idx="6">
                  <c:v>277270</c:v>
                </c:pt>
                <c:pt idx="7">
                  <c:v>278266</c:v>
                </c:pt>
                <c:pt idx="8">
                  <c:v>302767</c:v>
                </c:pt>
                <c:pt idx="9">
                  <c:v>299831</c:v>
                </c:pt>
                <c:pt idx="10">
                  <c:v>293986</c:v>
                </c:pt>
              </c:numCache>
            </c:numRef>
          </c:val>
          <c:extLst>
            <c:ext xmlns:c16="http://schemas.microsoft.com/office/drawing/2014/chart" uri="{C3380CC4-5D6E-409C-BE32-E72D297353CC}">
              <c16:uniqueId val="{00000001-AE63-4D27-B762-B2019FB6BAB5}"/>
            </c:ext>
          </c:extLst>
        </c:ser>
        <c:ser>
          <c:idx val="2"/>
          <c:order val="2"/>
          <c:tx>
            <c:strRef>
              <c:f>'Ch3. Granted patents'!$A$63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patents'!$R$63:$AB$63</c:f>
              <c:numCache>
                <c:formatCode>#,##0</c:formatCode>
                <c:ptCount val="11"/>
                <c:pt idx="0">
                  <c:v>118116</c:v>
                </c:pt>
                <c:pt idx="1">
                  <c:v>152022</c:v>
                </c:pt>
                <c:pt idx="2">
                  <c:v>154324</c:v>
                </c:pt>
                <c:pt idx="3">
                  <c:v>176004</c:v>
                </c:pt>
                <c:pt idx="4">
                  <c:v>278233</c:v>
                </c:pt>
                <c:pt idx="5">
                  <c:v>321872</c:v>
                </c:pt>
                <c:pt idx="6">
                  <c:v>352004</c:v>
                </c:pt>
                <c:pt idx="7">
                  <c:v>376508</c:v>
                </c:pt>
                <c:pt idx="8">
                  <c:v>399005</c:v>
                </c:pt>
                <c:pt idx="9">
                  <c:v>483948</c:v>
                </c:pt>
                <c:pt idx="10">
                  <c:v>638661</c:v>
                </c:pt>
              </c:numCache>
            </c:numRef>
          </c:val>
          <c:extLst>
            <c:ext xmlns:c16="http://schemas.microsoft.com/office/drawing/2014/chart" uri="{C3380CC4-5D6E-409C-BE32-E72D297353CC}">
              <c16:uniqueId val="{00000002-AE63-4D27-B762-B2019FB6BAB5}"/>
            </c:ext>
          </c:extLst>
        </c:ser>
        <c:ser>
          <c:idx val="3"/>
          <c:order val="3"/>
          <c:tx>
            <c:strRef>
              <c:f>'Ch3. Granted patents'!$A$62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patents'!$R$62:$AB$62</c:f>
              <c:numCache>
                <c:formatCode>#,##0</c:formatCode>
                <c:ptCount val="11"/>
                <c:pt idx="0">
                  <c:v>97711</c:v>
                </c:pt>
                <c:pt idx="1">
                  <c:v>112058</c:v>
                </c:pt>
                <c:pt idx="2">
                  <c:v>123771</c:v>
                </c:pt>
                <c:pt idx="3">
                  <c:v>127263</c:v>
                </c:pt>
                <c:pt idx="4">
                  <c:v>109007</c:v>
                </c:pt>
                <c:pt idx="5">
                  <c:v>120334</c:v>
                </c:pt>
                <c:pt idx="6">
                  <c:v>131442</c:v>
                </c:pt>
                <c:pt idx="7">
                  <c:v>131711</c:v>
                </c:pt>
                <c:pt idx="8">
                  <c:v>141393</c:v>
                </c:pt>
                <c:pt idx="9">
                  <c:v>150963</c:v>
                </c:pt>
                <c:pt idx="10">
                  <c:v>158207</c:v>
                </c:pt>
              </c:numCache>
            </c:numRef>
          </c:val>
          <c:extLst>
            <c:ext xmlns:c16="http://schemas.microsoft.com/office/drawing/2014/chart" uri="{C3380CC4-5D6E-409C-BE32-E72D297353CC}">
              <c16:uniqueId val="{00000003-AE63-4D27-B762-B2019FB6BAB5}"/>
            </c:ext>
          </c:extLst>
        </c:ser>
        <c:ser>
          <c:idx val="4"/>
          <c:order val="4"/>
          <c:tx>
            <c:strRef>
              <c:f>'Ch3. Granted patents'!$A$61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patents'!$R$61:$AB$61</c:f>
              <c:numCache>
                <c:formatCode>#,##0</c:formatCode>
                <c:ptCount val="11"/>
                <c:pt idx="0">
                  <c:v>304584</c:v>
                </c:pt>
                <c:pt idx="1">
                  <c:v>343012</c:v>
                </c:pt>
                <c:pt idx="2">
                  <c:v>339676</c:v>
                </c:pt>
                <c:pt idx="3">
                  <c:v>296359</c:v>
                </c:pt>
                <c:pt idx="4">
                  <c:v>269951</c:v>
                </c:pt>
                <c:pt idx="5">
                  <c:v>287770</c:v>
                </c:pt>
                <c:pt idx="6">
                  <c:v>283849</c:v>
                </c:pt>
                <c:pt idx="7">
                  <c:v>282050</c:v>
                </c:pt>
                <c:pt idx="8">
                  <c:v>282535</c:v>
                </c:pt>
                <c:pt idx="9">
                  <c:v>277981</c:v>
                </c:pt>
                <c:pt idx="10">
                  <c:v>277144</c:v>
                </c:pt>
              </c:numCache>
            </c:numRef>
          </c:val>
          <c:extLst>
            <c:ext xmlns:c16="http://schemas.microsoft.com/office/drawing/2014/chart" uri="{C3380CC4-5D6E-409C-BE32-E72D297353CC}">
              <c16:uniqueId val="{00000004-AE63-4D27-B762-B2019FB6BAB5}"/>
            </c:ext>
          </c:extLst>
        </c:ser>
        <c:ser>
          <c:idx val="5"/>
          <c:order val="5"/>
          <c:tx>
            <c:strRef>
              <c:f>'Ch3. Granted patents'!$A$60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patents'!$R$60:$AB$60</c:f>
              <c:numCache>
                <c:formatCode>#,##0</c:formatCode>
                <c:ptCount val="11"/>
                <c:pt idx="0">
                  <c:v>186630</c:v>
                </c:pt>
                <c:pt idx="1">
                  <c:v>203923</c:v>
                </c:pt>
                <c:pt idx="2">
                  <c:v>218006</c:v>
                </c:pt>
                <c:pt idx="3">
                  <c:v>219231</c:v>
                </c:pt>
                <c:pt idx="4">
                  <c:v>224805</c:v>
                </c:pt>
                <c:pt idx="5">
                  <c:v>248238</c:v>
                </c:pt>
                <c:pt idx="6">
                  <c:v>246110</c:v>
                </c:pt>
                <c:pt idx="7">
                  <c:v>253530</c:v>
                </c:pt>
                <c:pt idx="8">
                  <c:v>267740</c:v>
                </c:pt>
                <c:pt idx="9">
                  <c:v>268315</c:v>
                </c:pt>
                <c:pt idx="10">
                  <c:v>269247</c:v>
                </c:pt>
              </c:numCache>
            </c:numRef>
          </c:val>
          <c:extLst>
            <c:ext xmlns:c16="http://schemas.microsoft.com/office/drawing/2014/chart" uri="{C3380CC4-5D6E-409C-BE32-E72D297353CC}">
              <c16:uniqueId val="{00000005-AE63-4D27-B762-B2019FB6BAB5}"/>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patents'!$R$59:$AB$59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patents'!$R$66:$AB$66</c:f>
              <c:numCache>
                <c:formatCode>#,##0</c:formatCode>
                <c:ptCount val="11"/>
                <c:pt idx="0">
                  <c:v>982821</c:v>
                </c:pt>
                <c:pt idx="1">
                  <c:v>1124758</c:v>
                </c:pt>
                <c:pt idx="2">
                  <c:v>1168861</c:v>
                </c:pt>
                <c:pt idx="3">
                  <c:v>1167196</c:v>
                </c:pt>
                <c:pt idx="4">
                  <c:v>1230238</c:v>
                </c:pt>
                <c:pt idx="5">
                  <c:v>1342619</c:v>
                </c:pt>
                <c:pt idx="6">
                  <c:v>1386700</c:v>
                </c:pt>
                <c:pt idx="7">
                  <c:v>1421130</c:v>
                </c:pt>
                <c:pt idx="8">
                  <c:v>1497612</c:v>
                </c:pt>
                <c:pt idx="9">
                  <c:v>1594237</c:v>
                </c:pt>
                <c:pt idx="10">
                  <c:v>1747483</c:v>
                </c:pt>
              </c:numCache>
            </c:numRef>
          </c:val>
          <c:extLst>
            <c:ext xmlns:c16="http://schemas.microsoft.com/office/drawing/2014/chart" uri="{C3380CC4-5D6E-409C-BE32-E72D297353CC}">
              <c16:uniqueId val="{00000006-AE63-4D27-B762-B2019FB6BAB5}"/>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8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950446194225717"/>
          <c:y val="0.30140987090789362"/>
          <c:w val="0.12478125234345706"/>
          <c:h val="0.5169636452480879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Fig.3.12: WORLDWIDE PATENTS GRANTED - FILING BLOC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3462556402E-2"/>
          <c:y val="0.1111310861423221"/>
          <c:w val="0.8412165692578053"/>
          <c:h val="0.80822955557521603"/>
        </c:manualLayout>
      </c:layout>
      <c:barChart>
        <c:barDir val="col"/>
        <c:grouping val="stacked"/>
        <c:varyColors val="0"/>
        <c:ser>
          <c:idx val="0"/>
          <c:order val="0"/>
          <c:tx>
            <c:strRef>
              <c:f>'Ch3. Granted patents'!$A$75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patents'!$R$75:$AB$75</c:f>
              <c:numCache>
                <c:formatCode>#,##0</c:formatCode>
                <c:ptCount val="11"/>
                <c:pt idx="0">
                  <c:v>137503</c:v>
                </c:pt>
                <c:pt idx="1">
                  <c:v>146465</c:v>
                </c:pt>
                <c:pt idx="2">
                  <c:v>154571</c:v>
                </c:pt>
                <c:pt idx="3">
                  <c:v>155016</c:v>
                </c:pt>
                <c:pt idx="4">
                  <c:v>155568</c:v>
                </c:pt>
                <c:pt idx="5">
                  <c:v>166860</c:v>
                </c:pt>
                <c:pt idx="6">
                  <c:v>164209</c:v>
                </c:pt>
                <c:pt idx="7">
                  <c:v>179879</c:v>
                </c:pt>
                <c:pt idx="8">
                  <c:v>183530</c:v>
                </c:pt>
                <c:pt idx="9">
                  <c:v>198941</c:v>
                </c:pt>
                <c:pt idx="10">
                  <c:v>211924</c:v>
                </c:pt>
              </c:numCache>
            </c:numRef>
          </c:val>
          <c:extLst>
            <c:ext xmlns:c16="http://schemas.microsoft.com/office/drawing/2014/chart" uri="{C3380CC4-5D6E-409C-BE32-E72D297353CC}">
              <c16:uniqueId val="{00000000-E351-48CA-B9E6-56CF7F4136D0}"/>
            </c:ext>
          </c:extLst>
        </c:ser>
        <c:ser>
          <c:idx val="1"/>
          <c:order val="1"/>
          <c:tx>
            <c:strRef>
              <c:f>'Ch3. Granted patents'!$A$74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patents'!$R$74:$AB$74</c:f>
              <c:numCache>
                <c:formatCode>#,##0</c:formatCode>
                <c:ptCount val="11"/>
                <c:pt idx="0">
                  <c:v>224505</c:v>
                </c:pt>
                <c:pt idx="1">
                  <c:v>253155</c:v>
                </c:pt>
                <c:pt idx="2">
                  <c:v>277835</c:v>
                </c:pt>
                <c:pt idx="3">
                  <c:v>300678</c:v>
                </c:pt>
                <c:pt idx="4">
                  <c:v>298407</c:v>
                </c:pt>
                <c:pt idx="5">
                  <c:v>303049</c:v>
                </c:pt>
                <c:pt idx="6">
                  <c:v>318829</c:v>
                </c:pt>
                <c:pt idx="7">
                  <c:v>307759</c:v>
                </c:pt>
                <c:pt idx="8">
                  <c:v>354430</c:v>
                </c:pt>
                <c:pt idx="9">
                  <c:v>351993</c:v>
                </c:pt>
                <c:pt idx="10">
                  <c:v>327307</c:v>
                </c:pt>
              </c:numCache>
            </c:numRef>
          </c:val>
          <c:extLst>
            <c:ext xmlns:c16="http://schemas.microsoft.com/office/drawing/2014/chart" uri="{C3380CC4-5D6E-409C-BE32-E72D297353CC}">
              <c16:uniqueId val="{00000001-E351-48CA-B9E6-56CF7F4136D0}"/>
            </c:ext>
          </c:extLst>
        </c:ser>
        <c:ser>
          <c:idx val="2"/>
          <c:order val="2"/>
          <c:tx>
            <c:strRef>
              <c:f>'Ch3. Granted patents'!$A$73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patents'!$R$73:$AB$73</c:f>
              <c:numCache>
                <c:formatCode>#,##0</c:formatCode>
                <c:ptCount val="11"/>
                <c:pt idx="0">
                  <c:v>172113</c:v>
                </c:pt>
                <c:pt idx="1">
                  <c:v>217105</c:v>
                </c:pt>
                <c:pt idx="2">
                  <c:v>207688</c:v>
                </c:pt>
                <c:pt idx="3">
                  <c:v>233228</c:v>
                </c:pt>
                <c:pt idx="4">
                  <c:v>359316</c:v>
                </c:pt>
                <c:pt idx="5">
                  <c:v>404208</c:v>
                </c:pt>
                <c:pt idx="6">
                  <c:v>420144</c:v>
                </c:pt>
                <c:pt idx="7">
                  <c:v>432147</c:v>
                </c:pt>
                <c:pt idx="8">
                  <c:v>452804</c:v>
                </c:pt>
                <c:pt idx="9">
                  <c:v>530127</c:v>
                </c:pt>
                <c:pt idx="10">
                  <c:v>695946</c:v>
                </c:pt>
              </c:numCache>
            </c:numRef>
          </c:val>
          <c:extLst>
            <c:ext xmlns:c16="http://schemas.microsoft.com/office/drawing/2014/chart" uri="{C3380CC4-5D6E-409C-BE32-E72D297353CC}">
              <c16:uniqueId val="{00000002-E351-48CA-B9E6-56CF7F4136D0}"/>
            </c:ext>
          </c:extLst>
        </c:ser>
        <c:ser>
          <c:idx val="3"/>
          <c:order val="3"/>
          <c:tx>
            <c:strRef>
              <c:f>'Ch3. Granted patents'!$A$72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patents'!$R$72:$AB$72</c:f>
              <c:numCache>
                <c:formatCode>#,##0</c:formatCode>
                <c:ptCount val="11"/>
                <c:pt idx="0">
                  <c:v>94720</c:v>
                </c:pt>
                <c:pt idx="1">
                  <c:v>113467</c:v>
                </c:pt>
                <c:pt idx="2">
                  <c:v>127330</c:v>
                </c:pt>
                <c:pt idx="3">
                  <c:v>129786</c:v>
                </c:pt>
                <c:pt idx="4">
                  <c:v>101873</c:v>
                </c:pt>
                <c:pt idx="5">
                  <c:v>108875</c:v>
                </c:pt>
                <c:pt idx="6">
                  <c:v>120662</c:v>
                </c:pt>
                <c:pt idx="7">
                  <c:v>119012</c:v>
                </c:pt>
                <c:pt idx="8">
                  <c:v>125661</c:v>
                </c:pt>
                <c:pt idx="9">
                  <c:v>134766</c:v>
                </c:pt>
                <c:pt idx="10">
                  <c:v>145882</c:v>
                </c:pt>
              </c:numCache>
            </c:numRef>
          </c:val>
          <c:extLst>
            <c:ext xmlns:c16="http://schemas.microsoft.com/office/drawing/2014/chart" uri="{C3380CC4-5D6E-409C-BE32-E72D297353CC}">
              <c16:uniqueId val="{00000003-E351-48CA-B9E6-56CF7F4136D0}"/>
            </c:ext>
          </c:extLst>
        </c:ser>
        <c:ser>
          <c:idx val="4"/>
          <c:order val="4"/>
          <c:tx>
            <c:strRef>
              <c:f>'Ch3. Granted patents'!$A$71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patents'!$R$71:$AB$71</c:f>
              <c:numCache>
                <c:formatCode>#,##0</c:formatCode>
                <c:ptCount val="11"/>
                <c:pt idx="0">
                  <c:v>238323</c:v>
                </c:pt>
                <c:pt idx="1">
                  <c:v>274791</c:v>
                </c:pt>
                <c:pt idx="2">
                  <c:v>277079</c:v>
                </c:pt>
                <c:pt idx="3">
                  <c:v>227142</c:v>
                </c:pt>
                <c:pt idx="4">
                  <c:v>189358</c:v>
                </c:pt>
                <c:pt idx="5">
                  <c:v>203087</c:v>
                </c:pt>
                <c:pt idx="6">
                  <c:v>199577</c:v>
                </c:pt>
                <c:pt idx="7">
                  <c:v>194525</c:v>
                </c:pt>
                <c:pt idx="8">
                  <c:v>179910</c:v>
                </c:pt>
                <c:pt idx="9">
                  <c:v>179383</c:v>
                </c:pt>
                <c:pt idx="10">
                  <c:v>184372</c:v>
                </c:pt>
              </c:numCache>
            </c:numRef>
          </c:val>
          <c:extLst>
            <c:ext xmlns:c16="http://schemas.microsoft.com/office/drawing/2014/chart" uri="{C3380CC4-5D6E-409C-BE32-E72D297353CC}">
              <c16:uniqueId val="{00000004-E351-48CA-B9E6-56CF7F4136D0}"/>
            </c:ext>
          </c:extLst>
        </c:ser>
        <c:ser>
          <c:idx val="5"/>
          <c:order val="5"/>
          <c:tx>
            <c:strRef>
              <c:f>'Ch3. Granted patents'!$A$70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patents'!$R$70:$AB$70</c:f>
              <c:numCache>
                <c:formatCode>#,##0</c:formatCode>
                <c:ptCount val="11"/>
                <c:pt idx="0">
                  <c:v>115657</c:v>
                </c:pt>
                <c:pt idx="1">
                  <c:v>119775</c:v>
                </c:pt>
                <c:pt idx="2">
                  <c:v>124358</c:v>
                </c:pt>
                <c:pt idx="3">
                  <c:v>121346</c:v>
                </c:pt>
                <c:pt idx="4">
                  <c:v>125716</c:v>
                </c:pt>
                <c:pt idx="5">
                  <c:v>156540</c:v>
                </c:pt>
                <c:pt idx="6">
                  <c:v>163279</c:v>
                </c:pt>
                <c:pt idx="7">
                  <c:v>187808</c:v>
                </c:pt>
                <c:pt idx="8">
                  <c:v>201277</c:v>
                </c:pt>
                <c:pt idx="9">
                  <c:v>199027</c:v>
                </c:pt>
                <c:pt idx="10">
                  <c:v>182052</c:v>
                </c:pt>
              </c:numCache>
            </c:numRef>
          </c:val>
          <c:extLst>
            <c:ext xmlns:c16="http://schemas.microsoft.com/office/drawing/2014/chart" uri="{C3380CC4-5D6E-409C-BE32-E72D297353CC}">
              <c16:uniqueId val="{00000005-E351-48CA-B9E6-56CF7F4136D0}"/>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patents'!$R$69:$AB$69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patents'!$R$76:$AB$76</c:f>
              <c:numCache>
                <c:formatCode>#,##0</c:formatCode>
                <c:ptCount val="11"/>
                <c:pt idx="0">
                  <c:v>982821</c:v>
                </c:pt>
                <c:pt idx="1">
                  <c:v>1124758</c:v>
                </c:pt>
                <c:pt idx="2">
                  <c:v>1168861</c:v>
                </c:pt>
                <c:pt idx="3">
                  <c:v>1167196</c:v>
                </c:pt>
                <c:pt idx="4">
                  <c:v>1230238</c:v>
                </c:pt>
                <c:pt idx="5">
                  <c:v>1342619</c:v>
                </c:pt>
                <c:pt idx="6">
                  <c:v>1386700</c:v>
                </c:pt>
                <c:pt idx="7">
                  <c:v>1421130</c:v>
                </c:pt>
                <c:pt idx="8">
                  <c:v>1497612</c:v>
                </c:pt>
                <c:pt idx="9">
                  <c:v>1594237</c:v>
                </c:pt>
                <c:pt idx="10">
                  <c:v>1747483</c:v>
                </c:pt>
              </c:numCache>
            </c:numRef>
          </c:val>
          <c:extLst>
            <c:ext xmlns:c16="http://schemas.microsoft.com/office/drawing/2014/chart" uri="{C3380CC4-5D6E-409C-BE32-E72D297353CC}">
              <c16:uniqueId val="{00000006-E351-48CA-B9E6-56CF7F4136D0}"/>
            </c:ext>
          </c:extLst>
        </c:ser>
        <c:dLbls>
          <c:showLegendKey val="0"/>
          <c:showVal val="0"/>
          <c:showCatName val="0"/>
          <c:showSerName val="0"/>
          <c:showPercent val="0"/>
          <c:showBubbleSize val="0"/>
        </c:dLbls>
        <c:gapWidth val="10"/>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18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403296939877583"/>
          <c:y val="0.27987826240821018"/>
          <c:w val="0.12836156388756725"/>
          <c:h val="0.4944457223745908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2018</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1307-42A4-A653-BB43C1A35F35}"/>
              </c:ext>
            </c:extLst>
          </c:dPt>
          <c:dPt>
            <c:idx val="1"/>
            <c:bubble3D val="0"/>
            <c:spPr>
              <a:solidFill>
                <a:srgbClr val="FF0000"/>
              </a:solidFill>
              <a:ln>
                <a:solidFill>
                  <a:schemeClr val="bg1"/>
                </a:solidFill>
              </a:ln>
            </c:spPr>
            <c:extLst>
              <c:ext xmlns:c16="http://schemas.microsoft.com/office/drawing/2014/chart" uri="{C3380CC4-5D6E-409C-BE32-E72D297353CC}">
                <c16:uniqueId val="{00000003-1307-42A4-A653-BB43C1A35F35}"/>
              </c:ext>
            </c:extLst>
          </c:dPt>
          <c:dPt>
            <c:idx val="2"/>
            <c:bubble3D val="0"/>
            <c:spPr>
              <a:solidFill>
                <a:srgbClr val="7030A0"/>
              </a:solidFill>
              <a:ln>
                <a:solidFill>
                  <a:schemeClr val="bg1"/>
                </a:solidFill>
              </a:ln>
            </c:spPr>
            <c:extLst>
              <c:ext xmlns:c16="http://schemas.microsoft.com/office/drawing/2014/chart" uri="{C3380CC4-5D6E-409C-BE32-E72D297353CC}">
                <c16:uniqueId val="{00000005-1307-42A4-A653-BB43C1A35F35}"/>
              </c:ext>
            </c:extLst>
          </c:dPt>
          <c:dPt>
            <c:idx val="3"/>
            <c:bubble3D val="0"/>
            <c:spPr>
              <a:solidFill>
                <a:srgbClr val="FFC000"/>
              </a:solidFill>
              <a:ln>
                <a:solidFill>
                  <a:schemeClr val="bg1"/>
                </a:solidFill>
              </a:ln>
            </c:spPr>
            <c:extLst>
              <c:ext xmlns:c16="http://schemas.microsoft.com/office/drawing/2014/chart" uri="{C3380CC4-5D6E-409C-BE32-E72D297353CC}">
                <c16:uniqueId val="{00000007-1307-42A4-A653-BB43C1A35F35}"/>
              </c:ext>
            </c:extLst>
          </c:dPt>
          <c:dPt>
            <c:idx val="4"/>
            <c:bubble3D val="0"/>
            <c:spPr>
              <a:solidFill>
                <a:srgbClr val="008000"/>
              </a:solidFill>
              <a:ln>
                <a:solidFill>
                  <a:schemeClr val="bg1"/>
                </a:solidFill>
              </a:ln>
            </c:spPr>
            <c:extLst>
              <c:ext xmlns:c16="http://schemas.microsoft.com/office/drawing/2014/chart" uri="{C3380CC4-5D6E-409C-BE32-E72D297353CC}">
                <c16:uniqueId val="{00000009-1307-42A4-A653-BB43C1A35F35}"/>
              </c:ext>
            </c:extLst>
          </c:dPt>
          <c:dPt>
            <c:idx val="5"/>
            <c:bubble3D val="0"/>
            <c:spPr>
              <a:solidFill>
                <a:schemeClr val="accent2"/>
              </a:solidFill>
              <a:ln>
                <a:solidFill>
                  <a:schemeClr val="bg1"/>
                </a:solidFill>
              </a:ln>
            </c:spPr>
            <c:extLst>
              <c:ext xmlns:c16="http://schemas.microsoft.com/office/drawing/2014/chart" uri="{C3380CC4-5D6E-409C-BE32-E72D297353CC}">
                <c16:uniqueId val="{0000000B-1307-42A4-A653-BB43C1A35F35}"/>
              </c:ext>
            </c:extLst>
          </c:dPt>
          <c:dLbls>
            <c:dLbl>
              <c:idx val="0"/>
              <c:layout>
                <c:manualLayout>
                  <c:x val="-0.19759166467827885"/>
                  <c:y val="0.21905001728711793"/>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33939393939394"/>
                      <c:h val="0.28706765691402547"/>
                    </c:manualLayout>
                  </c15:layout>
                </c:ext>
                <c:ext xmlns:c16="http://schemas.microsoft.com/office/drawing/2014/chart" uri="{C3380CC4-5D6E-409C-BE32-E72D297353CC}">
                  <c16:uniqueId val="{00000001-1307-42A4-A653-BB43C1A35F35}"/>
                </c:ext>
              </c:extLst>
            </c:dLbl>
            <c:dLbl>
              <c:idx val="1"/>
              <c:layout>
                <c:manualLayout>
                  <c:x val="-0.19548222381293248"/>
                  <c:y val="-0.1502487379437255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135353535353532"/>
                      <c:h val="0.23210944405079867"/>
                    </c:manualLayout>
                  </c15:layout>
                </c:ext>
                <c:ext xmlns:c16="http://schemas.microsoft.com/office/drawing/2014/chart" uri="{C3380CC4-5D6E-409C-BE32-E72D297353CC}">
                  <c16:uniqueId val="{00000003-1307-42A4-A653-BB43C1A35F35}"/>
                </c:ext>
              </c:extLst>
            </c:dLbl>
            <c:dLbl>
              <c:idx val="2"/>
              <c:layout>
                <c:manualLayout>
                  <c:x val="-5.6677960709456771E-2"/>
                  <c:y val="-3.4107016443223018E-2"/>
                </c:manualLayout>
              </c:layout>
              <c:spPr>
                <a:noFill/>
                <a:ln>
                  <a:noFill/>
                </a:ln>
                <a:effectLst/>
              </c:spPr>
              <c:txPr>
                <a:bodyPr wrap="square" lIns="38100" tIns="19050" rIns="38100" bIns="19050" anchor="ctr">
                  <a:noAutofit/>
                </a:bodyPr>
                <a:lstStyle/>
                <a:p>
                  <a:pPr>
                    <a:defRPr sz="1100" b="1">
                      <a:solidFill>
                        <a:schemeClr val="bg1"/>
                      </a:solidFill>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991919191919193"/>
                      <c:h val="0.2362016415834291"/>
                    </c:manualLayout>
                  </c15:layout>
                </c:ext>
                <c:ext xmlns:c16="http://schemas.microsoft.com/office/drawing/2014/chart" uri="{C3380CC4-5D6E-409C-BE32-E72D297353CC}">
                  <c16:uniqueId val="{00000005-1307-42A4-A653-BB43C1A35F35}"/>
                </c:ext>
              </c:extLst>
            </c:dLbl>
            <c:dLbl>
              <c:idx val="3"/>
              <c:layout>
                <c:manualLayout>
                  <c:x val="0.12676035950051695"/>
                  <c:y val="-8.72139126982822E-2"/>
                </c:manualLayout>
              </c:layout>
              <c:spPr>
                <a:noFill/>
                <a:ln>
                  <a:noFill/>
                </a:ln>
                <a:effectLst/>
              </c:spPr>
              <c:txPr>
                <a:bodyPr wrap="square" lIns="38100" tIns="19050" rIns="38100" bIns="19050" anchor="ctr">
                  <a:noAutofit/>
                </a:bodyPr>
                <a:lstStyle/>
                <a:p>
                  <a:pPr>
                    <a:defRPr sz="1100" b="1">
                      <a:solidFill>
                        <a:schemeClr val="bg1"/>
                      </a:solidFill>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9397979797979795"/>
                      <c:h val="0.27069886678350369"/>
                    </c:manualLayout>
                  </c15:layout>
                </c:ext>
                <c:ext xmlns:c16="http://schemas.microsoft.com/office/drawing/2014/chart" uri="{C3380CC4-5D6E-409C-BE32-E72D297353CC}">
                  <c16:uniqueId val="{00000007-1307-42A4-A653-BB43C1A35F35}"/>
                </c:ext>
              </c:extLst>
            </c:dLbl>
            <c:dLbl>
              <c:idx val="5"/>
              <c:layout>
                <c:manualLayout>
                  <c:x val="0.14544659190328477"/>
                  <c:y val="0.1240254850462402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242424242424243"/>
                      <c:h val="0.23210944405079867"/>
                    </c:manualLayout>
                  </c15:layout>
                </c:ext>
                <c:ext xmlns:c16="http://schemas.microsoft.com/office/drawing/2014/chart" uri="{C3380CC4-5D6E-409C-BE32-E72D297353CC}">
                  <c16:uniqueId val="{0000000B-1307-42A4-A653-BB43C1A35F35}"/>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Patents-in-Force'!$V$8:$V$13</c:f>
              <c:numCache>
                <c:formatCode>#,##0</c:formatCode>
                <c:ptCount val="6"/>
                <c:pt idx="0">
                  <c:v>4093382</c:v>
                </c:pt>
                <c:pt idx="1">
                  <c:v>2054308</c:v>
                </c:pt>
                <c:pt idx="2">
                  <c:v>1001163</c:v>
                </c:pt>
                <c:pt idx="3">
                  <c:v>2366314</c:v>
                </c:pt>
                <c:pt idx="4">
                  <c:v>3063494</c:v>
                </c:pt>
                <c:pt idx="5">
                  <c:v>1299707</c:v>
                </c:pt>
              </c:numCache>
            </c:numRef>
          </c:val>
          <c:extLst>
            <c:ext xmlns:c16="http://schemas.microsoft.com/office/drawing/2014/chart" uri="{C3380CC4-5D6E-409C-BE32-E72D297353CC}">
              <c16:uniqueId val="{0000000C-1307-42A4-A653-BB43C1A35F35}"/>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1307-42A4-A653-BB43C1A35F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1307-42A4-A653-BB43C1A35F3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1307-42A4-A653-BB43C1A35F3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1307-42A4-A653-BB43C1A35F3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1307-42A4-A653-BB43C1A35F3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1307-42A4-A653-BB43C1A35F35}"/>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1307-42A4-A653-BB43C1A35F3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Fig.3.13: NATIONAL PATENT RIGHTS GRANTED - FILING BLOC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patents'!$A$88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patents'!$I$88:$AB$88</c:f>
              <c:numCache>
                <c:formatCode>#,##0</c:formatCode>
                <c:ptCount val="20"/>
                <c:pt idx="0">
                  <c:v>140592</c:v>
                </c:pt>
                <c:pt idx="1">
                  <c:v>141564.975438197</c:v>
                </c:pt>
                <c:pt idx="2">
                  <c:v>140109.73394753499</c:v>
                </c:pt>
                <c:pt idx="3">
                  <c:v>140291.56793636599</c:v>
                </c:pt>
                <c:pt idx="4">
                  <c:v>102062.85</c:v>
                </c:pt>
                <c:pt idx="5">
                  <c:v>105105</c:v>
                </c:pt>
                <c:pt idx="6">
                  <c:v>135011</c:v>
                </c:pt>
                <c:pt idx="7">
                  <c:v>129841</c:v>
                </c:pt>
                <c:pt idx="8">
                  <c:v>127465</c:v>
                </c:pt>
                <c:pt idx="9">
                  <c:v>142681.60000000001</c:v>
                </c:pt>
                <c:pt idx="10">
                  <c:v>163047</c:v>
                </c:pt>
                <c:pt idx="11">
                  <c:v>173164</c:v>
                </c:pt>
                <c:pt idx="12">
                  <c:v>183703</c:v>
                </c:pt>
                <c:pt idx="13">
                  <c:v>189324</c:v>
                </c:pt>
                <c:pt idx="14">
                  <c:v>205976</c:v>
                </c:pt>
                <c:pt idx="15">
                  <c:v>212645</c:v>
                </c:pt>
                <c:pt idx="16">
                  <c:v>225305</c:v>
                </c:pt>
                <c:pt idx="17">
                  <c:v>220979</c:v>
                </c:pt>
                <c:pt idx="18">
                  <c:v>240124</c:v>
                </c:pt>
                <c:pt idx="19">
                  <c:v>247708</c:v>
                </c:pt>
              </c:numCache>
            </c:numRef>
          </c:val>
          <c:extLst>
            <c:ext xmlns:c16="http://schemas.microsoft.com/office/drawing/2014/chart" uri="{C3380CC4-5D6E-409C-BE32-E72D297353CC}">
              <c16:uniqueId val="{00000000-6FF2-4182-8AB2-8A56A83E8E79}"/>
            </c:ext>
          </c:extLst>
        </c:ser>
        <c:ser>
          <c:idx val="1"/>
          <c:order val="1"/>
          <c:tx>
            <c:strRef>
              <c:f>'Ch3. Granted patents'!$A$87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patents'!$I$87:$AB$87</c:f>
              <c:numCache>
                <c:formatCode>#,##0</c:formatCode>
                <c:ptCount val="20"/>
                <c:pt idx="0">
                  <c:v>168928</c:v>
                </c:pt>
                <c:pt idx="1">
                  <c:v>170443</c:v>
                </c:pt>
                <c:pt idx="2">
                  <c:v>165607</c:v>
                </c:pt>
                <c:pt idx="3">
                  <c:v>144767</c:v>
                </c:pt>
                <c:pt idx="4">
                  <c:v>175439</c:v>
                </c:pt>
                <c:pt idx="5">
                  <c:v>157282</c:v>
                </c:pt>
                <c:pt idx="6">
                  <c:v>157772</c:v>
                </c:pt>
                <c:pt idx="7">
                  <c:v>167349</c:v>
                </c:pt>
                <c:pt idx="8">
                  <c:v>219614</c:v>
                </c:pt>
                <c:pt idx="9">
                  <c:v>224505</c:v>
                </c:pt>
                <c:pt idx="10">
                  <c:v>253155</c:v>
                </c:pt>
                <c:pt idx="11">
                  <c:v>277835</c:v>
                </c:pt>
                <c:pt idx="12">
                  <c:v>300678</c:v>
                </c:pt>
                <c:pt idx="13">
                  <c:v>298407</c:v>
                </c:pt>
                <c:pt idx="14">
                  <c:v>303049</c:v>
                </c:pt>
                <c:pt idx="15">
                  <c:v>318829</c:v>
                </c:pt>
                <c:pt idx="16">
                  <c:v>307759</c:v>
                </c:pt>
                <c:pt idx="17">
                  <c:v>354430</c:v>
                </c:pt>
                <c:pt idx="18">
                  <c:v>351993</c:v>
                </c:pt>
                <c:pt idx="19">
                  <c:v>327307</c:v>
                </c:pt>
              </c:numCache>
            </c:numRef>
          </c:val>
          <c:extLst>
            <c:ext xmlns:c16="http://schemas.microsoft.com/office/drawing/2014/chart" uri="{C3380CC4-5D6E-409C-BE32-E72D297353CC}">
              <c16:uniqueId val="{00000001-6FF2-4182-8AB2-8A56A83E8E79}"/>
            </c:ext>
          </c:extLst>
        </c:ser>
        <c:ser>
          <c:idx val="2"/>
          <c:order val="2"/>
          <c:tx>
            <c:strRef>
              <c:f>'Ch3. Granted patents'!$A$86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patents'!$I$86:$AB$86</c:f>
              <c:numCache>
                <c:formatCode>#,##0</c:formatCode>
                <c:ptCount val="20"/>
                <c:pt idx="0">
                  <c:v>21257</c:v>
                </c:pt>
                <c:pt idx="1">
                  <c:v>49356</c:v>
                </c:pt>
                <c:pt idx="2">
                  <c:v>49360</c:v>
                </c:pt>
                <c:pt idx="3">
                  <c:v>53305</c:v>
                </c:pt>
                <c:pt idx="4">
                  <c:v>57786</c:v>
                </c:pt>
                <c:pt idx="5">
                  <c:v>67948</c:v>
                </c:pt>
                <c:pt idx="6">
                  <c:v>93706</c:v>
                </c:pt>
                <c:pt idx="7">
                  <c:v>128489</c:v>
                </c:pt>
                <c:pt idx="8">
                  <c:v>135110</c:v>
                </c:pt>
                <c:pt idx="9">
                  <c:v>172113</c:v>
                </c:pt>
                <c:pt idx="10">
                  <c:v>217105</c:v>
                </c:pt>
                <c:pt idx="11">
                  <c:v>207688</c:v>
                </c:pt>
                <c:pt idx="12">
                  <c:v>233228</c:v>
                </c:pt>
                <c:pt idx="13">
                  <c:v>359316</c:v>
                </c:pt>
                <c:pt idx="14">
                  <c:v>404208</c:v>
                </c:pt>
                <c:pt idx="15">
                  <c:v>420144</c:v>
                </c:pt>
                <c:pt idx="16">
                  <c:v>432147</c:v>
                </c:pt>
                <c:pt idx="17">
                  <c:v>452804</c:v>
                </c:pt>
                <c:pt idx="18">
                  <c:v>530127</c:v>
                </c:pt>
                <c:pt idx="19">
                  <c:v>695946</c:v>
                </c:pt>
              </c:numCache>
            </c:numRef>
          </c:val>
          <c:extLst>
            <c:ext xmlns:c16="http://schemas.microsoft.com/office/drawing/2014/chart" uri="{C3380CC4-5D6E-409C-BE32-E72D297353CC}">
              <c16:uniqueId val="{00000002-6FF2-4182-8AB2-8A56A83E8E79}"/>
            </c:ext>
          </c:extLst>
        </c:ser>
        <c:ser>
          <c:idx val="3"/>
          <c:order val="3"/>
          <c:tx>
            <c:strRef>
              <c:f>'Ch3. Granted patents'!$A$85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patents'!$I$85:$AB$85</c:f>
              <c:numCache>
                <c:formatCode>#,##0</c:formatCode>
                <c:ptCount val="20"/>
                <c:pt idx="0">
                  <c:v>45046</c:v>
                </c:pt>
                <c:pt idx="1">
                  <c:v>44178</c:v>
                </c:pt>
                <c:pt idx="2">
                  <c:v>49068</c:v>
                </c:pt>
                <c:pt idx="3">
                  <c:v>73512</c:v>
                </c:pt>
                <c:pt idx="4">
                  <c:v>120790</c:v>
                </c:pt>
                <c:pt idx="5">
                  <c:v>123705</c:v>
                </c:pt>
                <c:pt idx="6">
                  <c:v>83523</c:v>
                </c:pt>
                <c:pt idx="7">
                  <c:v>56732</c:v>
                </c:pt>
                <c:pt idx="8">
                  <c:v>68843</c:v>
                </c:pt>
                <c:pt idx="9">
                  <c:v>94720</c:v>
                </c:pt>
                <c:pt idx="10">
                  <c:v>113467</c:v>
                </c:pt>
                <c:pt idx="11">
                  <c:v>127330</c:v>
                </c:pt>
                <c:pt idx="12">
                  <c:v>129786</c:v>
                </c:pt>
                <c:pt idx="13">
                  <c:v>101873</c:v>
                </c:pt>
                <c:pt idx="14">
                  <c:v>108875</c:v>
                </c:pt>
                <c:pt idx="15">
                  <c:v>120662</c:v>
                </c:pt>
                <c:pt idx="16">
                  <c:v>119012</c:v>
                </c:pt>
                <c:pt idx="17">
                  <c:v>125661</c:v>
                </c:pt>
                <c:pt idx="18">
                  <c:v>134766</c:v>
                </c:pt>
                <c:pt idx="19">
                  <c:v>145882</c:v>
                </c:pt>
              </c:numCache>
            </c:numRef>
          </c:val>
          <c:extLst>
            <c:ext xmlns:c16="http://schemas.microsoft.com/office/drawing/2014/chart" uri="{C3380CC4-5D6E-409C-BE32-E72D297353CC}">
              <c16:uniqueId val="{00000003-6FF2-4182-8AB2-8A56A83E8E79}"/>
            </c:ext>
          </c:extLst>
        </c:ser>
        <c:ser>
          <c:idx val="4"/>
          <c:order val="4"/>
          <c:tx>
            <c:strRef>
              <c:f>'Ch3. Granted patents'!$A$84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patents'!$I$84:$AB$84</c:f>
              <c:numCache>
                <c:formatCode>#,##0</c:formatCode>
                <c:ptCount val="20"/>
                <c:pt idx="0">
                  <c:v>119192</c:v>
                </c:pt>
                <c:pt idx="1">
                  <c:v>122522</c:v>
                </c:pt>
                <c:pt idx="2">
                  <c:v>124192</c:v>
                </c:pt>
                <c:pt idx="3">
                  <c:v>122944</c:v>
                </c:pt>
                <c:pt idx="4">
                  <c:v>141399</c:v>
                </c:pt>
                <c:pt idx="5">
                  <c:v>164954</c:v>
                </c:pt>
                <c:pt idx="6">
                  <c:v>176950</c:v>
                </c:pt>
                <c:pt idx="7">
                  <c:v>193349</c:v>
                </c:pt>
                <c:pt idx="8">
                  <c:v>222693</c:v>
                </c:pt>
                <c:pt idx="9">
                  <c:v>238323</c:v>
                </c:pt>
                <c:pt idx="10">
                  <c:v>274791</c:v>
                </c:pt>
                <c:pt idx="11">
                  <c:v>277079</c:v>
                </c:pt>
                <c:pt idx="12">
                  <c:v>227142</c:v>
                </c:pt>
                <c:pt idx="13">
                  <c:v>189358</c:v>
                </c:pt>
                <c:pt idx="14">
                  <c:v>203087</c:v>
                </c:pt>
                <c:pt idx="15">
                  <c:v>199577</c:v>
                </c:pt>
                <c:pt idx="16">
                  <c:v>194525</c:v>
                </c:pt>
                <c:pt idx="17">
                  <c:v>179910</c:v>
                </c:pt>
                <c:pt idx="18">
                  <c:v>179383</c:v>
                </c:pt>
                <c:pt idx="19">
                  <c:v>184372</c:v>
                </c:pt>
              </c:numCache>
            </c:numRef>
          </c:val>
          <c:extLst>
            <c:ext xmlns:c16="http://schemas.microsoft.com/office/drawing/2014/chart" uri="{C3380CC4-5D6E-409C-BE32-E72D297353CC}">
              <c16:uniqueId val="{00000004-6FF2-4182-8AB2-8A56A83E8E79}"/>
            </c:ext>
          </c:extLst>
        </c:ser>
        <c:ser>
          <c:idx val="5"/>
          <c:order val="5"/>
          <c:tx>
            <c:strRef>
              <c:f>'Ch3. Granted patents'!$A$83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patents'!$I$83:$AB$83</c:f>
              <c:numCache>
                <c:formatCode>#,##0</c:formatCode>
                <c:ptCount val="20"/>
                <c:pt idx="0">
                  <c:v>396655.61956862669</c:v>
                </c:pt>
                <c:pt idx="1">
                  <c:v>542359.22576470301</c:v>
                </c:pt>
                <c:pt idx="2">
                  <c:v>585357.74226784799</c:v>
                </c:pt>
                <c:pt idx="3">
                  <c:v>619976.116987966</c:v>
                </c:pt>
                <c:pt idx="4">
                  <c:v>708084.89867424301</c:v>
                </c:pt>
                <c:pt idx="5">
                  <c:v>754908.01827165799</c:v>
                </c:pt>
                <c:pt idx="6">
                  <c:v>868857.4</c:v>
                </c:pt>
                <c:pt idx="7">
                  <c:v>881478.2</c:v>
                </c:pt>
                <c:pt idx="8">
                  <c:v>865190</c:v>
                </c:pt>
                <c:pt idx="9">
                  <c:v>926979.40000000014</c:v>
                </c:pt>
                <c:pt idx="10">
                  <c:v>959347</c:v>
                </c:pt>
                <c:pt idx="11">
                  <c:v>988423.5</c:v>
                </c:pt>
                <c:pt idx="12">
                  <c:v>928477</c:v>
                </c:pt>
                <c:pt idx="13">
                  <c:v>1090050</c:v>
                </c:pt>
                <c:pt idx="14">
                  <c:v>1502038</c:v>
                </c:pt>
                <c:pt idx="15">
                  <c:v>1267216</c:v>
                </c:pt>
                <c:pt idx="16">
                  <c:v>1324480</c:v>
                </c:pt>
                <c:pt idx="17">
                  <c:v>1414780</c:v>
                </c:pt>
                <c:pt idx="18">
                  <c:v>1401799</c:v>
                </c:pt>
                <c:pt idx="19">
                  <c:v>1164969</c:v>
                </c:pt>
              </c:numCache>
            </c:numRef>
          </c:val>
          <c:extLst>
            <c:ext xmlns:c16="http://schemas.microsoft.com/office/drawing/2014/chart" uri="{C3380CC4-5D6E-409C-BE32-E72D297353CC}">
              <c16:uniqueId val="{00000005-6FF2-4182-8AB2-8A56A83E8E79}"/>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patents'!$I$82:$AB$82</c:f>
              <c:numCache>
                <c:formatCode>General</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'Ch3. Granted patents'!$I$89:$AB$89</c:f>
              <c:numCache>
                <c:formatCode>#,##0</c:formatCode>
                <c:ptCount val="20"/>
                <c:pt idx="0">
                  <c:v>891670.61956862663</c:v>
                </c:pt>
                <c:pt idx="1">
                  <c:v>1070423.2012028999</c:v>
                </c:pt>
                <c:pt idx="2">
                  <c:v>1113694.476215383</c:v>
                </c:pt>
                <c:pt idx="3">
                  <c:v>1154795.684924332</c:v>
                </c:pt>
                <c:pt idx="4">
                  <c:v>1305561.7486742432</c:v>
                </c:pt>
                <c:pt idx="5">
                  <c:v>1373902.0182716581</c:v>
                </c:pt>
                <c:pt idx="6">
                  <c:v>1515819.4</c:v>
                </c:pt>
                <c:pt idx="7">
                  <c:v>1557238.2</c:v>
                </c:pt>
                <c:pt idx="8">
                  <c:v>1638915</c:v>
                </c:pt>
                <c:pt idx="9">
                  <c:v>1799322.0000000002</c:v>
                </c:pt>
                <c:pt idx="10">
                  <c:v>1980912</c:v>
                </c:pt>
                <c:pt idx="11">
                  <c:v>2051519.5</c:v>
                </c:pt>
                <c:pt idx="12">
                  <c:v>2003014</c:v>
                </c:pt>
                <c:pt idx="13">
                  <c:v>2228328</c:v>
                </c:pt>
                <c:pt idx="14">
                  <c:v>2727233</c:v>
                </c:pt>
                <c:pt idx="15">
                  <c:v>2539073</c:v>
                </c:pt>
                <c:pt idx="16">
                  <c:v>2603228</c:v>
                </c:pt>
                <c:pt idx="17">
                  <c:v>2748564</c:v>
                </c:pt>
                <c:pt idx="18">
                  <c:v>2838192</c:v>
                </c:pt>
                <c:pt idx="19">
                  <c:v>2766184</c:v>
                </c:pt>
              </c:numCache>
            </c:numRef>
          </c:val>
          <c:extLst>
            <c:ext xmlns:c16="http://schemas.microsoft.com/office/drawing/2014/chart" uri="{C3380CC4-5D6E-409C-BE32-E72D297353CC}">
              <c16:uniqueId val="{00000006-6FF2-4182-8AB2-8A56A83E8E79}"/>
            </c:ext>
          </c:extLst>
        </c:ser>
        <c:dLbls>
          <c:showLegendKey val="0"/>
          <c:showVal val="0"/>
          <c:showCatName val="0"/>
          <c:showSerName val="0"/>
          <c:showPercent val="0"/>
          <c:showBubbleSize val="0"/>
        </c:dLbls>
        <c:gapWidth val="5"/>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1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t>Fig.3.13: NATIONAL PATENT RIGHTS GRANTED - FILING BLOC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3462556402E-2"/>
          <c:y val="0.1111310861423221"/>
          <c:w val="0.83741383590097695"/>
          <c:h val="0.80822955557521603"/>
        </c:manualLayout>
      </c:layout>
      <c:barChart>
        <c:barDir val="col"/>
        <c:grouping val="stacked"/>
        <c:varyColors val="0"/>
        <c:ser>
          <c:idx val="0"/>
          <c:order val="0"/>
          <c:tx>
            <c:strRef>
              <c:f>'Ch3. Granted patents'!$A$88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patents'!$R$88:$AB$88</c:f>
              <c:numCache>
                <c:formatCode>#,##0</c:formatCode>
                <c:ptCount val="11"/>
                <c:pt idx="0">
                  <c:v>142681.60000000001</c:v>
                </c:pt>
                <c:pt idx="1">
                  <c:v>163047</c:v>
                </c:pt>
                <c:pt idx="2">
                  <c:v>173164</c:v>
                </c:pt>
                <c:pt idx="3">
                  <c:v>183703</c:v>
                </c:pt>
                <c:pt idx="4">
                  <c:v>189324</c:v>
                </c:pt>
                <c:pt idx="5">
                  <c:v>205976</c:v>
                </c:pt>
                <c:pt idx="6">
                  <c:v>212645</c:v>
                </c:pt>
                <c:pt idx="7">
                  <c:v>225305</c:v>
                </c:pt>
                <c:pt idx="8">
                  <c:v>220979</c:v>
                </c:pt>
                <c:pt idx="9">
                  <c:v>240124</c:v>
                </c:pt>
                <c:pt idx="10">
                  <c:v>247708</c:v>
                </c:pt>
              </c:numCache>
            </c:numRef>
          </c:val>
          <c:extLst>
            <c:ext xmlns:c16="http://schemas.microsoft.com/office/drawing/2014/chart" uri="{C3380CC4-5D6E-409C-BE32-E72D297353CC}">
              <c16:uniqueId val="{00000000-C9A0-4A3C-8E7D-6FB36171B2B5}"/>
            </c:ext>
          </c:extLst>
        </c:ser>
        <c:ser>
          <c:idx val="1"/>
          <c:order val="1"/>
          <c:tx>
            <c:strRef>
              <c:f>'Ch3. Granted patents'!$A$87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patents'!$R$87:$AB$87</c:f>
              <c:numCache>
                <c:formatCode>#,##0</c:formatCode>
                <c:ptCount val="11"/>
                <c:pt idx="0">
                  <c:v>224505</c:v>
                </c:pt>
                <c:pt idx="1">
                  <c:v>253155</c:v>
                </c:pt>
                <c:pt idx="2">
                  <c:v>277835</c:v>
                </c:pt>
                <c:pt idx="3">
                  <c:v>300678</c:v>
                </c:pt>
                <c:pt idx="4">
                  <c:v>298407</c:v>
                </c:pt>
                <c:pt idx="5">
                  <c:v>303049</c:v>
                </c:pt>
                <c:pt idx="6">
                  <c:v>318829</c:v>
                </c:pt>
                <c:pt idx="7">
                  <c:v>307759</c:v>
                </c:pt>
                <c:pt idx="8">
                  <c:v>354430</c:v>
                </c:pt>
                <c:pt idx="9">
                  <c:v>351993</c:v>
                </c:pt>
                <c:pt idx="10">
                  <c:v>327307</c:v>
                </c:pt>
              </c:numCache>
            </c:numRef>
          </c:val>
          <c:extLst>
            <c:ext xmlns:c16="http://schemas.microsoft.com/office/drawing/2014/chart" uri="{C3380CC4-5D6E-409C-BE32-E72D297353CC}">
              <c16:uniqueId val="{00000001-C9A0-4A3C-8E7D-6FB36171B2B5}"/>
            </c:ext>
          </c:extLst>
        </c:ser>
        <c:ser>
          <c:idx val="2"/>
          <c:order val="2"/>
          <c:tx>
            <c:strRef>
              <c:f>'Ch3. Granted patents'!$A$86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patents'!$R$86:$AB$86</c:f>
              <c:numCache>
                <c:formatCode>#,##0</c:formatCode>
                <c:ptCount val="11"/>
                <c:pt idx="0">
                  <c:v>172113</c:v>
                </c:pt>
                <c:pt idx="1">
                  <c:v>217105</c:v>
                </c:pt>
                <c:pt idx="2">
                  <c:v>207688</c:v>
                </c:pt>
                <c:pt idx="3">
                  <c:v>233228</c:v>
                </c:pt>
                <c:pt idx="4">
                  <c:v>359316</c:v>
                </c:pt>
                <c:pt idx="5">
                  <c:v>404208</c:v>
                </c:pt>
                <c:pt idx="6">
                  <c:v>420144</c:v>
                </c:pt>
                <c:pt idx="7">
                  <c:v>432147</c:v>
                </c:pt>
                <c:pt idx="8">
                  <c:v>452804</c:v>
                </c:pt>
                <c:pt idx="9">
                  <c:v>530127</c:v>
                </c:pt>
                <c:pt idx="10">
                  <c:v>695946</c:v>
                </c:pt>
              </c:numCache>
            </c:numRef>
          </c:val>
          <c:extLst>
            <c:ext xmlns:c16="http://schemas.microsoft.com/office/drawing/2014/chart" uri="{C3380CC4-5D6E-409C-BE32-E72D297353CC}">
              <c16:uniqueId val="{00000002-C9A0-4A3C-8E7D-6FB36171B2B5}"/>
            </c:ext>
          </c:extLst>
        </c:ser>
        <c:ser>
          <c:idx val="3"/>
          <c:order val="3"/>
          <c:tx>
            <c:strRef>
              <c:f>'Ch3. Granted patents'!$A$85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patents'!$R$85:$AB$85</c:f>
              <c:numCache>
                <c:formatCode>#,##0</c:formatCode>
                <c:ptCount val="11"/>
                <c:pt idx="0">
                  <c:v>94720</c:v>
                </c:pt>
                <c:pt idx="1">
                  <c:v>113467</c:v>
                </c:pt>
                <c:pt idx="2">
                  <c:v>127330</c:v>
                </c:pt>
                <c:pt idx="3">
                  <c:v>129786</c:v>
                </c:pt>
                <c:pt idx="4">
                  <c:v>101873</c:v>
                </c:pt>
                <c:pt idx="5">
                  <c:v>108875</c:v>
                </c:pt>
                <c:pt idx="6">
                  <c:v>120662</c:v>
                </c:pt>
                <c:pt idx="7">
                  <c:v>119012</c:v>
                </c:pt>
                <c:pt idx="8">
                  <c:v>125661</c:v>
                </c:pt>
                <c:pt idx="9">
                  <c:v>134766</c:v>
                </c:pt>
                <c:pt idx="10">
                  <c:v>145882</c:v>
                </c:pt>
              </c:numCache>
            </c:numRef>
          </c:val>
          <c:extLst>
            <c:ext xmlns:c16="http://schemas.microsoft.com/office/drawing/2014/chart" uri="{C3380CC4-5D6E-409C-BE32-E72D297353CC}">
              <c16:uniqueId val="{00000003-C9A0-4A3C-8E7D-6FB36171B2B5}"/>
            </c:ext>
          </c:extLst>
        </c:ser>
        <c:ser>
          <c:idx val="4"/>
          <c:order val="4"/>
          <c:tx>
            <c:strRef>
              <c:f>'Ch3. Granted patents'!$A$84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patents'!$R$84:$AB$84</c:f>
              <c:numCache>
                <c:formatCode>#,##0</c:formatCode>
                <c:ptCount val="11"/>
                <c:pt idx="0">
                  <c:v>238323</c:v>
                </c:pt>
                <c:pt idx="1">
                  <c:v>274791</c:v>
                </c:pt>
                <c:pt idx="2">
                  <c:v>277079</c:v>
                </c:pt>
                <c:pt idx="3">
                  <c:v>227142</c:v>
                </c:pt>
                <c:pt idx="4">
                  <c:v>189358</c:v>
                </c:pt>
                <c:pt idx="5">
                  <c:v>203087</c:v>
                </c:pt>
                <c:pt idx="6">
                  <c:v>199577</c:v>
                </c:pt>
                <c:pt idx="7">
                  <c:v>194525</c:v>
                </c:pt>
                <c:pt idx="8">
                  <c:v>179910</c:v>
                </c:pt>
                <c:pt idx="9">
                  <c:v>179383</c:v>
                </c:pt>
                <c:pt idx="10">
                  <c:v>184372</c:v>
                </c:pt>
              </c:numCache>
            </c:numRef>
          </c:val>
          <c:extLst>
            <c:ext xmlns:c16="http://schemas.microsoft.com/office/drawing/2014/chart" uri="{C3380CC4-5D6E-409C-BE32-E72D297353CC}">
              <c16:uniqueId val="{00000004-C9A0-4A3C-8E7D-6FB36171B2B5}"/>
            </c:ext>
          </c:extLst>
        </c:ser>
        <c:ser>
          <c:idx val="5"/>
          <c:order val="5"/>
          <c:tx>
            <c:strRef>
              <c:f>'Ch3. Granted patents'!$A$83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patents'!$R$83:$AB$83</c:f>
              <c:numCache>
                <c:formatCode>#,##0</c:formatCode>
                <c:ptCount val="11"/>
                <c:pt idx="0">
                  <c:v>926979.40000000014</c:v>
                </c:pt>
                <c:pt idx="1">
                  <c:v>959347</c:v>
                </c:pt>
                <c:pt idx="2">
                  <c:v>988423.5</c:v>
                </c:pt>
                <c:pt idx="3">
                  <c:v>928477</c:v>
                </c:pt>
                <c:pt idx="4">
                  <c:v>1090050</c:v>
                </c:pt>
                <c:pt idx="5">
                  <c:v>1502038</c:v>
                </c:pt>
                <c:pt idx="6">
                  <c:v>1267216</c:v>
                </c:pt>
                <c:pt idx="7">
                  <c:v>1324480</c:v>
                </c:pt>
                <c:pt idx="8">
                  <c:v>1414780</c:v>
                </c:pt>
                <c:pt idx="9">
                  <c:v>1401799</c:v>
                </c:pt>
                <c:pt idx="10">
                  <c:v>1164969</c:v>
                </c:pt>
              </c:numCache>
            </c:numRef>
          </c:val>
          <c:extLst>
            <c:ext xmlns:c16="http://schemas.microsoft.com/office/drawing/2014/chart" uri="{C3380CC4-5D6E-409C-BE32-E72D297353CC}">
              <c16:uniqueId val="{00000005-C9A0-4A3C-8E7D-6FB36171B2B5}"/>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patents'!$R$82:$AB$82</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'Ch3. Granted patents'!$R$89:$AB$89</c:f>
              <c:numCache>
                <c:formatCode>#,##0</c:formatCode>
                <c:ptCount val="11"/>
                <c:pt idx="0">
                  <c:v>1799322.0000000002</c:v>
                </c:pt>
                <c:pt idx="1">
                  <c:v>1980912</c:v>
                </c:pt>
                <c:pt idx="2">
                  <c:v>2051519.5</c:v>
                </c:pt>
                <c:pt idx="3">
                  <c:v>2003014</c:v>
                </c:pt>
                <c:pt idx="4">
                  <c:v>2228328</c:v>
                </c:pt>
                <c:pt idx="5">
                  <c:v>2727233</c:v>
                </c:pt>
                <c:pt idx="6">
                  <c:v>2539073</c:v>
                </c:pt>
                <c:pt idx="7">
                  <c:v>2603228</c:v>
                </c:pt>
                <c:pt idx="8">
                  <c:v>2748564</c:v>
                </c:pt>
                <c:pt idx="9">
                  <c:v>2838192</c:v>
                </c:pt>
                <c:pt idx="10">
                  <c:v>2766184</c:v>
                </c:pt>
              </c:numCache>
            </c:numRef>
          </c:val>
          <c:extLst>
            <c:ext xmlns:c16="http://schemas.microsoft.com/office/drawing/2014/chart" uri="{C3380CC4-5D6E-409C-BE32-E72D297353CC}">
              <c16:uniqueId val="{00000006-C9A0-4A3C-8E7D-6FB36171B2B5}"/>
            </c:ext>
          </c:extLst>
        </c:ser>
        <c:dLbls>
          <c:showLegendKey val="0"/>
          <c:showVal val="0"/>
          <c:showCatName val="0"/>
          <c:showSerName val="0"/>
          <c:showPercent val="0"/>
          <c:showBubbleSize val="0"/>
        </c:dLbls>
        <c:gapWidth val="5"/>
        <c:overlap val="100"/>
        <c:axId val="553391656"/>
        <c:axId val="553384768"/>
      </c:barChart>
      <c:catAx>
        <c:axId val="5533916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53384768"/>
        <c:crosses val="autoZero"/>
        <c:auto val="1"/>
        <c:lblAlgn val="ctr"/>
        <c:lblOffset val="100"/>
        <c:noMultiLvlLbl val="0"/>
      </c:catAx>
      <c:valAx>
        <c:axId val="553384768"/>
        <c:scaling>
          <c:orientation val="minMax"/>
          <c:max val="3100000"/>
          <c:min val="0"/>
        </c:scaling>
        <c:delete val="1"/>
        <c:axPos val="l"/>
        <c:numFmt formatCode="#,##0" sourceLinked="1"/>
        <c:majorTickMark val="out"/>
        <c:minorTickMark val="none"/>
        <c:tickLblPos val="nextTo"/>
        <c:crossAx val="553391656"/>
        <c:crosses val="autoZero"/>
        <c:crossBetween val="between"/>
      </c:valAx>
      <c:spPr>
        <a:noFill/>
        <a:ln>
          <a:noFill/>
        </a:ln>
        <a:effectLst/>
      </c:spPr>
    </c:plotArea>
    <c:legend>
      <c:legendPos val="r"/>
      <c:legendEntry>
        <c:idx val="0"/>
        <c:delete val="1"/>
      </c:legendEntry>
      <c:layout>
        <c:manualLayout>
          <c:xMode val="edge"/>
          <c:yMode val="edge"/>
          <c:x val="0.86403296939877583"/>
          <c:y val="0.35478462944940869"/>
          <c:w val="0.12836156388756725"/>
          <c:h val="0.3686030257453773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3.17: IP5 PATENT FAMILIES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IP5 Patent Families'!$A$12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Families'!$B$12:$T$12</c:f>
              <c:numCache>
                <c:formatCode>#,##0</c:formatCode>
                <c:ptCount val="19"/>
                <c:pt idx="0">
                  <c:v>282</c:v>
                </c:pt>
                <c:pt idx="1">
                  <c:v>410</c:v>
                </c:pt>
                <c:pt idx="2">
                  <c:v>397</c:v>
                </c:pt>
                <c:pt idx="3">
                  <c:v>409</c:v>
                </c:pt>
                <c:pt idx="4">
                  <c:v>426</c:v>
                </c:pt>
                <c:pt idx="5">
                  <c:v>460</c:v>
                </c:pt>
                <c:pt idx="6">
                  <c:v>395</c:v>
                </c:pt>
                <c:pt idx="7">
                  <c:v>363</c:v>
                </c:pt>
                <c:pt idx="8">
                  <c:v>419</c:v>
                </c:pt>
                <c:pt idx="9">
                  <c:v>505</c:v>
                </c:pt>
                <c:pt idx="10">
                  <c:v>491</c:v>
                </c:pt>
                <c:pt idx="11">
                  <c:v>643</c:v>
                </c:pt>
                <c:pt idx="12">
                  <c:v>581</c:v>
                </c:pt>
                <c:pt idx="13">
                  <c:v>471</c:v>
                </c:pt>
                <c:pt idx="14">
                  <c:v>877</c:v>
                </c:pt>
                <c:pt idx="15">
                  <c:v>878</c:v>
                </c:pt>
                <c:pt idx="16">
                  <c:v>905</c:v>
                </c:pt>
                <c:pt idx="17">
                  <c:v>1137</c:v>
                </c:pt>
                <c:pt idx="18" formatCode="General">
                  <c:v>1193</c:v>
                </c:pt>
              </c:numCache>
            </c:numRef>
          </c:val>
          <c:extLst>
            <c:ext xmlns:c16="http://schemas.microsoft.com/office/drawing/2014/chart" uri="{C3380CC4-5D6E-409C-BE32-E72D297353CC}">
              <c16:uniqueId val="{00000005-F761-44C4-B023-0CB216DEDBA0}"/>
            </c:ext>
          </c:extLst>
        </c:ser>
        <c:ser>
          <c:idx val="4"/>
          <c:order val="1"/>
          <c:tx>
            <c:strRef>
              <c:f>'Ch3. IP5 Patent Families'!$A$11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Families'!$B$11:$T$11</c:f>
              <c:numCache>
                <c:formatCode>#,##0</c:formatCode>
                <c:ptCount val="19"/>
                <c:pt idx="0">
                  <c:v>4971</c:v>
                </c:pt>
                <c:pt idx="1">
                  <c:v>7417</c:v>
                </c:pt>
                <c:pt idx="2">
                  <c:v>8723</c:v>
                </c:pt>
                <c:pt idx="3">
                  <c:v>9839</c:v>
                </c:pt>
                <c:pt idx="4">
                  <c:v>10880</c:v>
                </c:pt>
                <c:pt idx="5">
                  <c:v>12307</c:v>
                </c:pt>
                <c:pt idx="6">
                  <c:v>11513</c:v>
                </c:pt>
                <c:pt idx="7">
                  <c:v>10916</c:v>
                </c:pt>
                <c:pt idx="8">
                  <c:v>12700</c:v>
                </c:pt>
                <c:pt idx="9">
                  <c:v>13560</c:v>
                </c:pt>
                <c:pt idx="10">
                  <c:v>13281</c:v>
                </c:pt>
                <c:pt idx="11">
                  <c:v>14048</c:v>
                </c:pt>
                <c:pt idx="12">
                  <c:v>13985</c:v>
                </c:pt>
                <c:pt idx="13">
                  <c:v>15104</c:v>
                </c:pt>
                <c:pt idx="14">
                  <c:v>13404</c:v>
                </c:pt>
                <c:pt idx="15">
                  <c:v>12940</c:v>
                </c:pt>
                <c:pt idx="16">
                  <c:v>12346</c:v>
                </c:pt>
                <c:pt idx="17">
                  <c:v>13073</c:v>
                </c:pt>
                <c:pt idx="18" formatCode="General">
                  <c:v>13202</c:v>
                </c:pt>
              </c:numCache>
            </c:numRef>
          </c:val>
          <c:extLst>
            <c:ext xmlns:c16="http://schemas.microsoft.com/office/drawing/2014/chart" uri="{C3380CC4-5D6E-409C-BE32-E72D297353CC}">
              <c16:uniqueId val="{00000004-F761-44C4-B023-0CB216DEDBA0}"/>
            </c:ext>
          </c:extLst>
        </c:ser>
        <c:ser>
          <c:idx val="3"/>
          <c:order val="2"/>
          <c:tx>
            <c:strRef>
              <c:f>'Ch3. IP5 Patent Families'!$A$10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Families'!$B$10:$T$10</c:f>
              <c:numCache>
                <c:formatCode>#,##0</c:formatCode>
                <c:ptCount val="19"/>
                <c:pt idx="0">
                  <c:v>36</c:v>
                </c:pt>
                <c:pt idx="1">
                  <c:v>78</c:v>
                </c:pt>
                <c:pt idx="2">
                  <c:v>125</c:v>
                </c:pt>
                <c:pt idx="3">
                  <c:v>148</c:v>
                </c:pt>
                <c:pt idx="4">
                  <c:v>153</c:v>
                </c:pt>
                <c:pt idx="5">
                  <c:v>233</c:v>
                </c:pt>
                <c:pt idx="6">
                  <c:v>270</c:v>
                </c:pt>
                <c:pt idx="7">
                  <c:v>367</c:v>
                </c:pt>
                <c:pt idx="8">
                  <c:v>393</c:v>
                </c:pt>
                <c:pt idx="9">
                  <c:v>706</c:v>
                </c:pt>
                <c:pt idx="10">
                  <c:v>806</c:v>
                </c:pt>
                <c:pt idx="11">
                  <c:v>971</c:v>
                </c:pt>
                <c:pt idx="12">
                  <c:v>1181</c:v>
                </c:pt>
                <c:pt idx="13">
                  <c:v>1548</c:v>
                </c:pt>
                <c:pt idx="14">
                  <c:v>1578</c:v>
                </c:pt>
                <c:pt idx="15">
                  <c:v>1952</c:v>
                </c:pt>
                <c:pt idx="16">
                  <c:v>1907</c:v>
                </c:pt>
                <c:pt idx="17">
                  <c:v>2210</c:v>
                </c:pt>
                <c:pt idx="18" formatCode="General">
                  <c:v>2458</c:v>
                </c:pt>
              </c:numCache>
            </c:numRef>
          </c:val>
          <c:extLst>
            <c:ext xmlns:c16="http://schemas.microsoft.com/office/drawing/2014/chart" uri="{C3380CC4-5D6E-409C-BE32-E72D297353CC}">
              <c16:uniqueId val="{00000003-F761-44C4-B023-0CB216DEDBA0}"/>
            </c:ext>
          </c:extLst>
        </c:ser>
        <c:ser>
          <c:idx val="2"/>
          <c:order val="3"/>
          <c:tx>
            <c:strRef>
              <c:f>'Ch3. IP5 Patent Families'!$A$9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Families'!$B$9:$T$9</c:f>
              <c:numCache>
                <c:formatCode>#,##0</c:formatCode>
                <c:ptCount val="19"/>
                <c:pt idx="0">
                  <c:v>1229</c:v>
                </c:pt>
                <c:pt idx="1">
                  <c:v>1491</c:v>
                </c:pt>
                <c:pt idx="2">
                  <c:v>2060</c:v>
                </c:pt>
                <c:pt idx="3">
                  <c:v>2863</c:v>
                </c:pt>
                <c:pt idx="4">
                  <c:v>3130</c:v>
                </c:pt>
                <c:pt idx="5">
                  <c:v>3136</c:v>
                </c:pt>
                <c:pt idx="6">
                  <c:v>2881</c:v>
                </c:pt>
                <c:pt idx="7">
                  <c:v>2366</c:v>
                </c:pt>
                <c:pt idx="8">
                  <c:v>2057</c:v>
                </c:pt>
                <c:pt idx="9">
                  <c:v>2343</c:v>
                </c:pt>
                <c:pt idx="10">
                  <c:v>2813</c:v>
                </c:pt>
                <c:pt idx="11">
                  <c:v>3187</c:v>
                </c:pt>
                <c:pt idx="12">
                  <c:v>3183</c:v>
                </c:pt>
                <c:pt idx="13">
                  <c:v>2891</c:v>
                </c:pt>
                <c:pt idx="14">
                  <c:v>2647</c:v>
                </c:pt>
                <c:pt idx="15">
                  <c:v>2649</c:v>
                </c:pt>
                <c:pt idx="16">
                  <c:v>2885</c:v>
                </c:pt>
                <c:pt idx="17">
                  <c:v>3095</c:v>
                </c:pt>
                <c:pt idx="18" formatCode="General">
                  <c:v>3480</c:v>
                </c:pt>
              </c:numCache>
            </c:numRef>
          </c:val>
          <c:extLst>
            <c:ext xmlns:c16="http://schemas.microsoft.com/office/drawing/2014/chart" uri="{C3380CC4-5D6E-409C-BE32-E72D297353CC}">
              <c16:uniqueId val="{00000002-F761-44C4-B023-0CB216DEDBA0}"/>
            </c:ext>
          </c:extLst>
        </c:ser>
        <c:ser>
          <c:idx val="1"/>
          <c:order val="4"/>
          <c:tx>
            <c:strRef>
              <c:f>'Ch3. IP5 Patent Families'!$A$8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Families'!$B$8:$T$8</c:f>
              <c:numCache>
                <c:formatCode>#,##0</c:formatCode>
                <c:ptCount val="19"/>
                <c:pt idx="0">
                  <c:v>6263</c:v>
                </c:pt>
                <c:pt idx="1">
                  <c:v>8711</c:v>
                </c:pt>
                <c:pt idx="2">
                  <c:v>9666</c:v>
                </c:pt>
                <c:pt idx="3">
                  <c:v>10013</c:v>
                </c:pt>
                <c:pt idx="4">
                  <c:v>9747</c:v>
                </c:pt>
                <c:pt idx="5">
                  <c:v>9724</c:v>
                </c:pt>
                <c:pt idx="6">
                  <c:v>9533</c:v>
                </c:pt>
                <c:pt idx="7">
                  <c:v>8278</c:v>
                </c:pt>
                <c:pt idx="8">
                  <c:v>7794</c:v>
                </c:pt>
                <c:pt idx="9">
                  <c:v>8477</c:v>
                </c:pt>
                <c:pt idx="10">
                  <c:v>9117</c:v>
                </c:pt>
                <c:pt idx="11">
                  <c:v>8755</c:v>
                </c:pt>
                <c:pt idx="12">
                  <c:v>8322</c:v>
                </c:pt>
                <c:pt idx="13">
                  <c:v>7498</c:v>
                </c:pt>
                <c:pt idx="14">
                  <c:v>6538</c:v>
                </c:pt>
                <c:pt idx="15">
                  <c:v>6465</c:v>
                </c:pt>
                <c:pt idx="16">
                  <c:v>6308</c:v>
                </c:pt>
                <c:pt idx="17">
                  <c:v>5931</c:v>
                </c:pt>
                <c:pt idx="18" formatCode="General">
                  <c:v>5688</c:v>
                </c:pt>
              </c:numCache>
            </c:numRef>
          </c:val>
          <c:extLst>
            <c:ext xmlns:c16="http://schemas.microsoft.com/office/drawing/2014/chart" uri="{C3380CC4-5D6E-409C-BE32-E72D297353CC}">
              <c16:uniqueId val="{00000001-F761-44C4-B023-0CB216DEDBA0}"/>
            </c:ext>
          </c:extLst>
        </c:ser>
        <c:ser>
          <c:idx val="0"/>
          <c:order val="5"/>
          <c:tx>
            <c:strRef>
              <c:f>'Ch3. IP5 Patent Families'!$A$7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Families'!$B$7:$T$7</c:f>
              <c:numCache>
                <c:formatCode>#,##0</c:formatCode>
                <c:ptCount val="19"/>
                <c:pt idx="0">
                  <c:v>3803</c:v>
                </c:pt>
                <c:pt idx="1">
                  <c:v>5470</c:v>
                </c:pt>
                <c:pt idx="2">
                  <c:v>6392</c:v>
                </c:pt>
                <c:pt idx="3">
                  <c:v>6928</c:v>
                </c:pt>
                <c:pt idx="4">
                  <c:v>6841</c:v>
                </c:pt>
                <c:pt idx="5">
                  <c:v>7021</c:v>
                </c:pt>
                <c:pt idx="6">
                  <c:v>6438</c:v>
                </c:pt>
                <c:pt idx="7">
                  <c:v>6085</c:v>
                </c:pt>
                <c:pt idx="8">
                  <c:v>6704</c:v>
                </c:pt>
                <c:pt idx="9">
                  <c:v>7113</c:v>
                </c:pt>
                <c:pt idx="10">
                  <c:v>6600</c:v>
                </c:pt>
                <c:pt idx="11">
                  <c:v>6642</c:v>
                </c:pt>
                <c:pt idx="12">
                  <c:v>6659</c:v>
                </c:pt>
                <c:pt idx="13">
                  <c:v>6791</c:v>
                </c:pt>
                <c:pt idx="14">
                  <c:v>6870</c:v>
                </c:pt>
                <c:pt idx="15">
                  <c:v>6955</c:v>
                </c:pt>
                <c:pt idx="16">
                  <c:v>7153</c:v>
                </c:pt>
                <c:pt idx="17">
                  <c:v>6758</c:v>
                </c:pt>
                <c:pt idx="18" formatCode="General">
                  <c:v>6867</c:v>
                </c:pt>
              </c:numCache>
            </c:numRef>
          </c:val>
          <c:extLst>
            <c:ext xmlns:c16="http://schemas.microsoft.com/office/drawing/2014/chart" uri="{C3380CC4-5D6E-409C-BE32-E72D297353CC}">
              <c16:uniqueId val="{00000000-F761-44C4-B023-0CB216DEDBA0}"/>
            </c:ext>
          </c:extLst>
        </c:ser>
        <c:ser>
          <c:idx val="6"/>
          <c:order val="6"/>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Families'!$B$6:$T$6</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'Ch3. IP5 Patent Families'!$B$13:$T$13</c:f>
              <c:numCache>
                <c:formatCode>#,##0</c:formatCode>
                <c:ptCount val="19"/>
                <c:pt idx="0">
                  <c:v>16584</c:v>
                </c:pt>
                <c:pt idx="1">
                  <c:v>23577</c:v>
                </c:pt>
                <c:pt idx="2">
                  <c:v>27363</c:v>
                </c:pt>
                <c:pt idx="3">
                  <c:v>30200</c:v>
                </c:pt>
                <c:pt idx="4">
                  <c:v>31177</c:v>
                </c:pt>
                <c:pt idx="5">
                  <c:v>32881</c:v>
                </c:pt>
                <c:pt idx="6">
                  <c:v>31030</c:v>
                </c:pt>
                <c:pt idx="7">
                  <c:v>28375</c:v>
                </c:pt>
                <c:pt idx="8">
                  <c:v>30067</c:v>
                </c:pt>
                <c:pt idx="9">
                  <c:v>32704</c:v>
                </c:pt>
                <c:pt idx="10">
                  <c:v>33108</c:v>
                </c:pt>
                <c:pt idx="11">
                  <c:v>34246</c:v>
                </c:pt>
                <c:pt idx="12">
                  <c:v>33911</c:v>
                </c:pt>
                <c:pt idx="13">
                  <c:v>34303</c:v>
                </c:pt>
                <c:pt idx="14">
                  <c:v>31914</c:v>
                </c:pt>
                <c:pt idx="15">
                  <c:v>31839</c:v>
                </c:pt>
                <c:pt idx="16">
                  <c:v>31504</c:v>
                </c:pt>
                <c:pt idx="17">
                  <c:v>32204</c:v>
                </c:pt>
                <c:pt idx="18" formatCode="General">
                  <c:v>32888</c:v>
                </c:pt>
              </c:numCache>
            </c:numRef>
          </c:val>
          <c:extLst>
            <c:ext xmlns:c16="http://schemas.microsoft.com/office/drawing/2014/chart" uri="{C3380CC4-5D6E-409C-BE32-E72D297353CC}">
              <c16:uniqueId val="{00000006-F761-44C4-B023-0CB216DEDBA0}"/>
            </c:ext>
          </c:extLst>
        </c:ser>
        <c:dLbls>
          <c:showLegendKey val="0"/>
          <c:showVal val="0"/>
          <c:showCatName val="0"/>
          <c:showSerName val="0"/>
          <c:showPercent val="0"/>
          <c:showBubbleSize val="0"/>
        </c:dLbls>
        <c:gapWidth val="20"/>
        <c:overlap val="100"/>
        <c:axId val="706632368"/>
        <c:axId val="706628104"/>
      </c:barChart>
      <c:catAx>
        <c:axId val="70663236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06628104"/>
        <c:crosses val="autoZero"/>
        <c:auto val="1"/>
        <c:lblAlgn val="ctr"/>
        <c:lblOffset val="100"/>
        <c:noMultiLvlLbl val="0"/>
      </c:catAx>
      <c:valAx>
        <c:axId val="706628104"/>
        <c:scaling>
          <c:orientation val="minMax"/>
          <c:max val="36000"/>
          <c:min val="0"/>
        </c:scaling>
        <c:delete val="1"/>
        <c:axPos val="l"/>
        <c:numFmt formatCode="#,##0" sourceLinked="1"/>
        <c:majorTickMark val="out"/>
        <c:minorTickMark val="none"/>
        <c:tickLblPos val="nextTo"/>
        <c:crossAx val="706632368"/>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Fig. 3.17: IP5 PATENT FAMILIES - ORIGIN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3006534053293476E-2"/>
          <c:y val="0.13014038683254228"/>
          <c:w val="0.83579576258179089"/>
          <c:h val="0.77542665435188685"/>
        </c:manualLayout>
      </c:layout>
      <c:barChart>
        <c:barDir val="col"/>
        <c:grouping val="stacked"/>
        <c:varyColors val="0"/>
        <c:ser>
          <c:idx val="5"/>
          <c:order val="0"/>
          <c:tx>
            <c:strRef>
              <c:f>'Ch3. IP5 Patent Families'!$A$12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Families'!$J$12:$T$12</c:f>
              <c:numCache>
                <c:formatCode>#,##0</c:formatCode>
                <c:ptCount val="11"/>
                <c:pt idx="0">
                  <c:v>419</c:v>
                </c:pt>
                <c:pt idx="1">
                  <c:v>505</c:v>
                </c:pt>
                <c:pt idx="2">
                  <c:v>491</c:v>
                </c:pt>
                <c:pt idx="3">
                  <c:v>643</c:v>
                </c:pt>
                <c:pt idx="4">
                  <c:v>581</c:v>
                </c:pt>
                <c:pt idx="5">
                  <c:v>471</c:v>
                </c:pt>
                <c:pt idx="6">
                  <c:v>877</c:v>
                </c:pt>
                <c:pt idx="7">
                  <c:v>878</c:v>
                </c:pt>
                <c:pt idx="8">
                  <c:v>905</c:v>
                </c:pt>
                <c:pt idx="9">
                  <c:v>1137</c:v>
                </c:pt>
                <c:pt idx="10" formatCode="General">
                  <c:v>1193</c:v>
                </c:pt>
              </c:numCache>
            </c:numRef>
          </c:val>
          <c:extLst>
            <c:ext xmlns:c16="http://schemas.microsoft.com/office/drawing/2014/chart" uri="{C3380CC4-5D6E-409C-BE32-E72D297353CC}">
              <c16:uniqueId val="{00000000-5CA9-4FE6-BA28-ECFA75B05C19}"/>
            </c:ext>
          </c:extLst>
        </c:ser>
        <c:ser>
          <c:idx val="4"/>
          <c:order val="1"/>
          <c:tx>
            <c:strRef>
              <c:f>'Ch3. IP5 Patent Families'!$A$11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Families'!$J$11:$T$11</c:f>
              <c:numCache>
                <c:formatCode>#,##0</c:formatCode>
                <c:ptCount val="11"/>
                <c:pt idx="0">
                  <c:v>12700</c:v>
                </c:pt>
                <c:pt idx="1">
                  <c:v>13560</c:v>
                </c:pt>
                <c:pt idx="2">
                  <c:v>13281</c:v>
                </c:pt>
                <c:pt idx="3">
                  <c:v>14048</c:v>
                </c:pt>
                <c:pt idx="4">
                  <c:v>13985</c:v>
                </c:pt>
                <c:pt idx="5">
                  <c:v>15104</c:v>
                </c:pt>
                <c:pt idx="6">
                  <c:v>13404</c:v>
                </c:pt>
                <c:pt idx="7">
                  <c:v>12940</c:v>
                </c:pt>
                <c:pt idx="8">
                  <c:v>12346</c:v>
                </c:pt>
                <c:pt idx="9">
                  <c:v>13073</c:v>
                </c:pt>
                <c:pt idx="10" formatCode="General">
                  <c:v>13202</c:v>
                </c:pt>
              </c:numCache>
            </c:numRef>
          </c:val>
          <c:extLst>
            <c:ext xmlns:c16="http://schemas.microsoft.com/office/drawing/2014/chart" uri="{C3380CC4-5D6E-409C-BE32-E72D297353CC}">
              <c16:uniqueId val="{00000001-5CA9-4FE6-BA28-ECFA75B05C19}"/>
            </c:ext>
          </c:extLst>
        </c:ser>
        <c:ser>
          <c:idx val="3"/>
          <c:order val="2"/>
          <c:tx>
            <c:strRef>
              <c:f>'Ch3. IP5 Patent Families'!$A$10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Families'!$J$10:$T$10</c:f>
              <c:numCache>
                <c:formatCode>#,##0</c:formatCode>
                <c:ptCount val="11"/>
                <c:pt idx="0">
                  <c:v>393</c:v>
                </c:pt>
                <c:pt idx="1">
                  <c:v>706</c:v>
                </c:pt>
                <c:pt idx="2">
                  <c:v>806</c:v>
                </c:pt>
                <c:pt idx="3">
                  <c:v>971</c:v>
                </c:pt>
                <c:pt idx="4">
                  <c:v>1181</c:v>
                </c:pt>
                <c:pt idx="5">
                  <c:v>1548</c:v>
                </c:pt>
                <c:pt idx="6">
                  <c:v>1578</c:v>
                </c:pt>
                <c:pt idx="7">
                  <c:v>1952</c:v>
                </c:pt>
                <c:pt idx="8">
                  <c:v>1907</c:v>
                </c:pt>
                <c:pt idx="9">
                  <c:v>2210</c:v>
                </c:pt>
                <c:pt idx="10" formatCode="General">
                  <c:v>2458</c:v>
                </c:pt>
              </c:numCache>
            </c:numRef>
          </c:val>
          <c:extLst>
            <c:ext xmlns:c16="http://schemas.microsoft.com/office/drawing/2014/chart" uri="{C3380CC4-5D6E-409C-BE32-E72D297353CC}">
              <c16:uniqueId val="{00000002-5CA9-4FE6-BA28-ECFA75B05C19}"/>
            </c:ext>
          </c:extLst>
        </c:ser>
        <c:ser>
          <c:idx val="2"/>
          <c:order val="3"/>
          <c:tx>
            <c:strRef>
              <c:f>'Ch3. IP5 Patent Families'!$A$9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Families'!$J$9:$T$9</c:f>
              <c:numCache>
                <c:formatCode>#,##0</c:formatCode>
                <c:ptCount val="11"/>
                <c:pt idx="0">
                  <c:v>2057</c:v>
                </c:pt>
                <c:pt idx="1">
                  <c:v>2343</c:v>
                </c:pt>
                <c:pt idx="2">
                  <c:v>2813</c:v>
                </c:pt>
                <c:pt idx="3">
                  <c:v>3187</c:v>
                </c:pt>
                <c:pt idx="4">
                  <c:v>3183</c:v>
                </c:pt>
                <c:pt idx="5">
                  <c:v>2891</c:v>
                </c:pt>
                <c:pt idx="6">
                  <c:v>2647</c:v>
                </c:pt>
                <c:pt idx="7">
                  <c:v>2649</c:v>
                </c:pt>
                <c:pt idx="8">
                  <c:v>2885</c:v>
                </c:pt>
                <c:pt idx="9">
                  <c:v>3095</c:v>
                </c:pt>
                <c:pt idx="10" formatCode="General">
                  <c:v>3480</c:v>
                </c:pt>
              </c:numCache>
            </c:numRef>
          </c:val>
          <c:extLst>
            <c:ext xmlns:c16="http://schemas.microsoft.com/office/drawing/2014/chart" uri="{C3380CC4-5D6E-409C-BE32-E72D297353CC}">
              <c16:uniqueId val="{00000003-5CA9-4FE6-BA28-ECFA75B05C19}"/>
            </c:ext>
          </c:extLst>
        </c:ser>
        <c:ser>
          <c:idx val="1"/>
          <c:order val="4"/>
          <c:tx>
            <c:strRef>
              <c:f>'Ch3. IP5 Patent Families'!$A$8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Families'!$J$8:$T$8</c:f>
              <c:numCache>
                <c:formatCode>#,##0</c:formatCode>
                <c:ptCount val="11"/>
                <c:pt idx="0">
                  <c:v>7794</c:v>
                </c:pt>
                <c:pt idx="1">
                  <c:v>8477</c:v>
                </c:pt>
                <c:pt idx="2">
                  <c:v>9117</c:v>
                </c:pt>
                <c:pt idx="3">
                  <c:v>8755</c:v>
                </c:pt>
                <c:pt idx="4">
                  <c:v>8322</c:v>
                </c:pt>
                <c:pt idx="5">
                  <c:v>7498</c:v>
                </c:pt>
                <c:pt idx="6">
                  <c:v>6538</c:v>
                </c:pt>
                <c:pt idx="7">
                  <c:v>6465</c:v>
                </c:pt>
                <c:pt idx="8">
                  <c:v>6308</c:v>
                </c:pt>
                <c:pt idx="9">
                  <c:v>5931</c:v>
                </c:pt>
                <c:pt idx="10" formatCode="General">
                  <c:v>5688</c:v>
                </c:pt>
              </c:numCache>
            </c:numRef>
          </c:val>
          <c:extLst>
            <c:ext xmlns:c16="http://schemas.microsoft.com/office/drawing/2014/chart" uri="{C3380CC4-5D6E-409C-BE32-E72D297353CC}">
              <c16:uniqueId val="{00000004-5CA9-4FE6-BA28-ECFA75B05C19}"/>
            </c:ext>
          </c:extLst>
        </c:ser>
        <c:ser>
          <c:idx val="0"/>
          <c:order val="5"/>
          <c:tx>
            <c:strRef>
              <c:f>'Ch3. IP5 Patent Families'!$A$7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Families'!$J$7:$T$7</c:f>
              <c:numCache>
                <c:formatCode>#,##0</c:formatCode>
                <c:ptCount val="11"/>
                <c:pt idx="0">
                  <c:v>6704</c:v>
                </c:pt>
                <c:pt idx="1">
                  <c:v>7113</c:v>
                </c:pt>
                <c:pt idx="2">
                  <c:v>6600</c:v>
                </c:pt>
                <c:pt idx="3">
                  <c:v>6642</c:v>
                </c:pt>
                <c:pt idx="4">
                  <c:v>6659</c:v>
                </c:pt>
                <c:pt idx="5">
                  <c:v>6791</c:v>
                </c:pt>
                <c:pt idx="6">
                  <c:v>6870</c:v>
                </c:pt>
                <c:pt idx="7">
                  <c:v>6955</c:v>
                </c:pt>
                <c:pt idx="8">
                  <c:v>7153</c:v>
                </c:pt>
                <c:pt idx="9">
                  <c:v>6758</c:v>
                </c:pt>
                <c:pt idx="10" formatCode="General">
                  <c:v>6867</c:v>
                </c:pt>
              </c:numCache>
            </c:numRef>
          </c:val>
          <c:extLst>
            <c:ext xmlns:c16="http://schemas.microsoft.com/office/drawing/2014/chart" uri="{C3380CC4-5D6E-409C-BE32-E72D297353CC}">
              <c16:uniqueId val="{00000005-5CA9-4FE6-BA28-ECFA75B05C19}"/>
            </c:ext>
          </c:extLst>
        </c:ser>
        <c:ser>
          <c:idx val="6"/>
          <c:order val="6"/>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Families'!$J$6:$T$6</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'Ch3. IP5 Patent Families'!$J$13:$T$13</c:f>
              <c:numCache>
                <c:formatCode>#,##0</c:formatCode>
                <c:ptCount val="11"/>
                <c:pt idx="0">
                  <c:v>30067</c:v>
                </c:pt>
                <c:pt idx="1">
                  <c:v>32704</c:v>
                </c:pt>
                <c:pt idx="2">
                  <c:v>33108</c:v>
                </c:pt>
                <c:pt idx="3">
                  <c:v>34246</c:v>
                </c:pt>
                <c:pt idx="4">
                  <c:v>33911</c:v>
                </c:pt>
                <c:pt idx="5">
                  <c:v>34303</c:v>
                </c:pt>
                <c:pt idx="6">
                  <c:v>31914</c:v>
                </c:pt>
                <c:pt idx="7">
                  <c:v>31839</c:v>
                </c:pt>
                <c:pt idx="8">
                  <c:v>31504</c:v>
                </c:pt>
                <c:pt idx="9">
                  <c:v>32204</c:v>
                </c:pt>
                <c:pt idx="10" formatCode="General">
                  <c:v>32888</c:v>
                </c:pt>
              </c:numCache>
            </c:numRef>
          </c:val>
          <c:extLst>
            <c:ext xmlns:c16="http://schemas.microsoft.com/office/drawing/2014/chart" uri="{C3380CC4-5D6E-409C-BE32-E72D297353CC}">
              <c16:uniqueId val="{00000006-5CA9-4FE6-BA28-ECFA75B05C19}"/>
            </c:ext>
          </c:extLst>
        </c:ser>
        <c:dLbls>
          <c:showLegendKey val="0"/>
          <c:showVal val="0"/>
          <c:showCatName val="0"/>
          <c:showSerName val="0"/>
          <c:showPercent val="0"/>
          <c:showBubbleSize val="0"/>
        </c:dLbls>
        <c:gapWidth val="20"/>
        <c:overlap val="100"/>
        <c:axId val="706632368"/>
        <c:axId val="706628104"/>
      </c:barChart>
      <c:catAx>
        <c:axId val="70663236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06628104"/>
        <c:crosses val="autoZero"/>
        <c:auto val="1"/>
        <c:lblAlgn val="ctr"/>
        <c:lblOffset val="100"/>
        <c:noMultiLvlLbl val="0"/>
      </c:catAx>
      <c:valAx>
        <c:axId val="706628104"/>
        <c:scaling>
          <c:orientation val="minMax"/>
          <c:max val="36000"/>
          <c:min val="0"/>
        </c:scaling>
        <c:delete val="1"/>
        <c:axPos val="l"/>
        <c:numFmt formatCode="#,##0" sourceLinked="1"/>
        <c:majorTickMark val="out"/>
        <c:minorTickMark val="none"/>
        <c:tickLblPos val="nextTo"/>
        <c:crossAx val="706632368"/>
        <c:crosses val="autoZero"/>
        <c:crossBetween val="between"/>
      </c:valAx>
      <c:spPr>
        <a:noFill/>
        <a:ln>
          <a:noFill/>
        </a:ln>
        <a:effectLst/>
      </c:spPr>
    </c:plotArea>
    <c:legend>
      <c:legendPos val="r"/>
      <c:legendEntry>
        <c:idx val="0"/>
        <c:delete val="1"/>
      </c:legendEntry>
      <c:layout>
        <c:manualLayout>
          <c:xMode val="edge"/>
          <c:yMode val="edge"/>
          <c:x val="0.85043628425206863"/>
          <c:y val="0.25275210740491988"/>
          <c:w val="0.14538070955642349"/>
          <c:h val="0.5895484430303752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4.1: APPLICATIONS FILED - DOMESTIC AND FOREIGN</a:t>
            </a:r>
            <a:r>
              <a:rPr lang="en-GB" b="1" baseline="0"/>
              <a:t> ORIGIN (THOUSAND)</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5769805680119583E-3"/>
          <c:y val="8.2422222222222216E-2"/>
          <c:w val="0.98684603886397604"/>
          <c:h val="0.82516280464941882"/>
        </c:manualLayout>
      </c:layout>
      <c:barChart>
        <c:barDir val="col"/>
        <c:grouping val="stacked"/>
        <c:varyColors val="0"/>
        <c:ser>
          <c:idx val="0"/>
          <c:order val="0"/>
          <c:tx>
            <c:strRef>
              <c:f>'Ch4. Patent applications filed'!$B$45</c:f>
              <c:strCache>
                <c:ptCount val="1"/>
                <c:pt idx="0">
                  <c:v>Domestic</c:v>
                </c:pt>
              </c:strCache>
            </c:strRef>
          </c:tx>
          <c:spPr>
            <a:solidFill>
              <a:schemeClr val="tx1">
                <a:lumMod val="75000"/>
                <a:lumOff val="25000"/>
              </a:schemeClr>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3F-3296-460D-906F-260B97746E06}"/>
              </c:ext>
            </c:extLst>
          </c:dPt>
          <c:dPt>
            <c:idx val="1"/>
            <c:invertIfNegative val="0"/>
            <c:bubble3D val="0"/>
            <c:spPr>
              <a:solidFill>
                <a:schemeClr val="accent1"/>
              </a:solidFill>
              <a:ln>
                <a:noFill/>
              </a:ln>
              <a:effectLst/>
            </c:spPr>
            <c:extLst>
              <c:ext xmlns:c16="http://schemas.microsoft.com/office/drawing/2014/chart" uri="{C3380CC4-5D6E-409C-BE32-E72D297353CC}">
                <c16:uniqueId val="{00000040-3296-460D-906F-260B97746E06}"/>
              </c:ext>
            </c:extLst>
          </c:dPt>
          <c:dPt>
            <c:idx val="2"/>
            <c:invertIfNegative val="0"/>
            <c:bubble3D val="0"/>
            <c:spPr>
              <a:solidFill>
                <a:schemeClr val="accent1"/>
              </a:solidFill>
              <a:ln>
                <a:noFill/>
              </a:ln>
              <a:effectLst/>
            </c:spPr>
            <c:extLst>
              <c:ext xmlns:c16="http://schemas.microsoft.com/office/drawing/2014/chart" uri="{C3380CC4-5D6E-409C-BE32-E72D297353CC}">
                <c16:uniqueId val="{00000041-3296-460D-906F-260B97746E06}"/>
              </c:ext>
            </c:extLst>
          </c:dPt>
          <c:dPt>
            <c:idx val="3"/>
            <c:invertIfNegative val="0"/>
            <c:bubble3D val="0"/>
            <c:spPr>
              <a:solidFill>
                <a:schemeClr val="accent1"/>
              </a:solidFill>
              <a:ln>
                <a:noFill/>
              </a:ln>
              <a:effectLst/>
            </c:spPr>
            <c:extLst>
              <c:ext xmlns:c16="http://schemas.microsoft.com/office/drawing/2014/chart" uri="{C3380CC4-5D6E-409C-BE32-E72D297353CC}">
                <c16:uniqueId val="{00000042-3296-460D-906F-260B97746E06}"/>
              </c:ext>
            </c:extLst>
          </c:dPt>
          <c:dPt>
            <c:idx val="4"/>
            <c:invertIfNegative val="0"/>
            <c:bubble3D val="0"/>
            <c:spPr>
              <a:solidFill>
                <a:schemeClr val="accent1"/>
              </a:solidFill>
              <a:ln>
                <a:noFill/>
              </a:ln>
              <a:effectLst/>
            </c:spPr>
            <c:extLst>
              <c:ext xmlns:c16="http://schemas.microsoft.com/office/drawing/2014/chart" uri="{C3380CC4-5D6E-409C-BE32-E72D297353CC}">
                <c16:uniqueId val="{00000043-3296-460D-906F-260B97746E06}"/>
              </c:ext>
            </c:extLst>
          </c:dPt>
          <c:dPt>
            <c:idx val="5"/>
            <c:invertIfNegative val="0"/>
            <c:bubble3D val="0"/>
            <c:spPr>
              <a:solidFill>
                <a:schemeClr val="accent1"/>
              </a:solidFill>
              <a:ln>
                <a:noFill/>
              </a:ln>
              <a:effectLst/>
            </c:spPr>
            <c:extLst>
              <c:ext xmlns:c16="http://schemas.microsoft.com/office/drawing/2014/chart" uri="{C3380CC4-5D6E-409C-BE32-E72D297353CC}">
                <c16:uniqueId val="{00000044-3296-460D-906F-260B97746E06}"/>
              </c:ext>
            </c:extLst>
          </c:dPt>
          <c:dPt>
            <c:idx val="6"/>
            <c:invertIfNegative val="0"/>
            <c:bubble3D val="0"/>
            <c:spPr>
              <a:solidFill>
                <a:schemeClr val="accent1"/>
              </a:solidFill>
              <a:ln>
                <a:noFill/>
              </a:ln>
              <a:effectLst/>
            </c:spPr>
            <c:extLst>
              <c:ext xmlns:c16="http://schemas.microsoft.com/office/drawing/2014/chart" uri="{C3380CC4-5D6E-409C-BE32-E72D297353CC}">
                <c16:uniqueId val="{00000045-3296-460D-906F-260B97746E06}"/>
              </c:ext>
            </c:extLst>
          </c:dPt>
          <c:dPt>
            <c:idx val="7"/>
            <c:invertIfNegative val="0"/>
            <c:bubble3D val="0"/>
            <c:spPr>
              <a:solidFill>
                <a:schemeClr val="accent1"/>
              </a:solidFill>
              <a:ln>
                <a:noFill/>
              </a:ln>
              <a:effectLst/>
            </c:spPr>
            <c:extLst>
              <c:ext xmlns:c16="http://schemas.microsoft.com/office/drawing/2014/chart" uri="{C3380CC4-5D6E-409C-BE32-E72D297353CC}">
                <c16:uniqueId val="{00000046-3296-460D-906F-260B97746E06}"/>
              </c:ext>
            </c:extLst>
          </c:dPt>
          <c:dPt>
            <c:idx val="8"/>
            <c:invertIfNegative val="0"/>
            <c:bubble3D val="0"/>
            <c:spPr>
              <a:solidFill>
                <a:schemeClr val="accent1"/>
              </a:solidFill>
              <a:ln>
                <a:noFill/>
              </a:ln>
              <a:effectLst/>
            </c:spPr>
            <c:extLst>
              <c:ext xmlns:c16="http://schemas.microsoft.com/office/drawing/2014/chart" uri="{C3380CC4-5D6E-409C-BE32-E72D297353CC}">
                <c16:uniqueId val="{00000047-3296-460D-906F-260B97746E06}"/>
              </c:ext>
            </c:extLst>
          </c:dPt>
          <c:dPt>
            <c:idx val="9"/>
            <c:invertIfNegative val="0"/>
            <c:bubble3D val="0"/>
            <c:spPr>
              <a:solidFill>
                <a:schemeClr val="accent1"/>
              </a:solidFill>
              <a:ln>
                <a:noFill/>
              </a:ln>
              <a:effectLst/>
            </c:spPr>
            <c:extLst>
              <c:ext xmlns:c16="http://schemas.microsoft.com/office/drawing/2014/chart" uri="{C3380CC4-5D6E-409C-BE32-E72D297353CC}">
                <c16:uniqueId val="{00000048-3296-460D-906F-260B97746E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49-3296-460D-906F-260B97746E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4A-3296-460D-906F-260B97746E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4C-3296-460D-906F-260B97746E06}"/>
              </c:ext>
            </c:extLst>
          </c:dPt>
          <c:dPt>
            <c:idx val="14"/>
            <c:invertIfNegative val="0"/>
            <c:bubble3D val="0"/>
            <c:spPr>
              <a:solidFill>
                <a:srgbClr val="FF0000"/>
              </a:solidFill>
              <a:ln>
                <a:noFill/>
              </a:ln>
              <a:effectLst/>
            </c:spPr>
            <c:extLst>
              <c:ext xmlns:c16="http://schemas.microsoft.com/office/drawing/2014/chart" uri="{C3380CC4-5D6E-409C-BE32-E72D297353CC}">
                <c16:uniqueId val="{0000004D-3296-460D-906F-260B97746E06}"/>
              </c:ext>
            </c:extLst>
          </c:dPt>
          <c:dPt>
            <c:idx val="15"/>
            <c:invertIfNegative val="0"/>
            <c:bubble3D val="0"/>
            <c:spPr>
              <a:solidFill>
                <a:srgbClr val="FF0000"/>
              </a:solidFill>
              <a:ln>
                <a:noFill/>
              </a:ln>
              <a:effectLst/>
            </c:spPr>
            <c:extLst>
              <c:ext xmlns:c16="http://schemas.microsoft.com/office/drawing/2014/chart" uri="{C3380CC4-5D6E-409C-BE32-E72D297353CC}">
                <c16:uniqueId val="{0000004E-3296-460D-906F-260B97746E06}"/>
              </c:ext>
            </c:extLst>
          </c:dPt>
          <c:dPt>
            <c:idx val="16"/>
            <c:invertIfNegative val="0"/>
            <c:bubble3D val="0"/>
            <c:spPr>
              <a:solidFill>
                <a:srgbClr val="FF0000"/>
              </a:solidFill>
              <a:ln>
                <a:noFill/>
              </a:ln>
              <a:effectLst/>
            </c:spPr>
            <c:extLst>
              <c:ext xmlns:c16="http://schemas.microsoft.com/office/drawing/2014/chart" uri="{C3380CC4-5D6E-409C-BE32-E72D297353CC}">
                <c16:uniqueId val="{0000004F-3296-460D-906F-260B97746E06}"/>
              </c:ext>
            </c:extLst>
          </c:dPt>
          <c:dPt>
            <c:idx val="17"/>
            <c:invertIfNegative val="0"/>
            <c:bubble3D val="0"/>
            <c:spPr>
              <a:solidFill>
                <a:srgbClr val="FF0000"/>
              </a:solidFill>
              <a:ln>
                <a:noFill/>
              </a:ln>
              <a:effectLst/>
            </c:spPr>
            <c:extLst>
              <c:ext xmlns:c16="http://schemas.microsoft.com/office/drawing/2014/chart" uri="{C3380CC4-5D6E-409C-BE32-E72D297353CC}">
                <c16:uniqueId val="{00000050-3296-460D-906F-260B97746E06}"/>
              </c:ext>
            </c:extLst>
          </c:dPt>
          <c:dPt>
            <c:idx val="18"/>
            <c:invertIfNegative val="0"/>
            <c:bubble3D val="0"/>
            <c:spPr>
              <a:solidFill>
                <a:srgbClr val="FF0000"/>
              </a:solidFill>
              <a:ln>
                <a:noFill/>
              </a:ln>
              <a:effectLst/>
            </c:spPr>
            <c:extLst>
              <c:ext xmlns:c16="http://schemas.microsoft.com/office/drawing/2014/chart" uri="{C3380CC4-5D6E-409C-BE32-E72D297353CC}">
                <c16:uniqueId val="{00000051-3296-460D-906F-260B97746E06}"/>
              </c:ext>
            </c:extLst>
          </c:dPt>
          <c:dPt>
            <c:idx val="19"/>
            <c:invertIfNegative val="0"/>
            <c:bubble3D val="0"/>
            <c:spPr>
              <a:solidFill>
                <a:srgbClr val="FF0000"/>
              </a:solidFill>
              <a:ln>
                <a:noFill/>
              </a:ln>
              <a:effectLst/>
            </c:spPr>
            <c:extLst>
              <c:ext xmlns:c16="http://schemas.microsoft.com/office/drawing/2014/chart" uri="{C3380CC4-5D6E-409C-BE32-E72D297353CC}">
                <c16:uniqueId val="{00000052-3296-460D-906F-260B97746E06}"/>
              </c:ext>
            </c:extLst>
          </c:dPt>
          <c:dPt>
            <c:idx val="20"/>
            <c:invertIfNegative val="0"/>
            <c:bubble3D val="0"/>
            <c:spPr>
              <a:solidFill>
                <a:srgbClr val="FF0000"/>
              </a:solidFill>
              <a:ln>
                <a:noFill/>
              </a:ln>
              <a:effectLst/>
            </c:spPr>
            <c:extLst>
              <c:ext xmlns:c16="http://schemas.microsoft.com/office/drawing/2014/chart" uri="{C3380CC4-5D6E-409C-BE32-E72D297353CC}">
                <c16:uniqueId val="{00000053-3296-460D-906F-260B97746E06}"/>
              </c:ext>
            </c:extLst>
          </c:dPt>
          <c:dPt>
            <c:idx val="21"/>
            <c:invertIfNegative val="0"/>
            <c:bubble3D val="0"/>
            <c:spPr>
              <a:solidFill>
                <a:srgbClr val="FF0000"/>
              </a:solidFill>
              <a:ln>
                <a:noFill/>
              </a:ln>
              <a:effectLst/>
            </c:spPr>
            <c:extLst>
              <c:ext xmlns:c16="http://schemas.microsoft.com/office/drawing/2014/chart" uri="{C3380CC4-5D6E-409C-BE32-E72D297353CC}">
                <c16:uniqueId val="{00000054-3296-460D-906F-260B97746E06}"/>
              </c:ext>
            </c:extLst>
          </c:dPt>
          <c:dPt>
            <c:idx val="22"/>
            <c:invertIfNegative val="0"/>
            <c:bubble3D val="0"/>
            <c:spPr>
              <a:solidFill>
                <a:srgbClr val="FF0000"/>
              </a:solidFill>
              <a:ln>
                <a:noFill/>
              </a:ln>
              <a:effectLst/>
            </c:spPr>
            <c:extLst>
              <c:ext xmlns:c16="http://schemas.microsoft.com/office/drawing/2014/chart" uri="{C3380CC4-5D6E-409C-BE32-E72D297353CC}">
                <c16:uniqueId val="{00000055-3296-460D-906F-260B97746E06}"/>
              </c:ext>
            </c:extLst>
          </c:dPt>
          <c:dPt>
            <c:idx val="23"/>
            <c:invertIfNegative val="0"/>
            <c:bubble3D val="0"/>
            <c:spPr>
              <a:solidFill>
                <a:srgbClr val="FF0000"/>
              </a:solidFill>
              <a:ln>
                <a:noFill/>
              </a:ln>
              <a:effectLst/>
            </c:spPr>
            <c:extLst>
              <c:ext xmlns:c16="http://schemas.microsoft.com/office/drawing/2014/chart" uri="{C3380CC4-5D6E-409C-BE32-E72D297353CC}">
                <c16:uniqueId val="{00000056-3296-460D-906F-260B97746E06}"/>
              </c:ext>
            </c:extLst>
          </c:dPt>
          <c:dPt>
            <c:idx val="24"/>
            <c:invertIfNegative val="0"/>
            <c:bubble3D val="0"/>
            <c:spPr>
              <a:solidFill>
                <a:srgbClr val="FF0000"/>
              </a:solidFill>
              <a:ln>
                <a:noFill/>
              </a:ln>
              <a:effectLst/>
            </c:spPr>
            <c:extLst>
              <c:ext xmlns:c16="http://schemas.microsoft.com/office/drawing/2014/chart" uri="{C3380CC4-5D6E-409C-BE32-E72D297353CC}">
                <c16:uniqueId val="{00000057-3296-460D-906F-260B97746E06}"/>
              </c:ext>
            </c:extLst>
          </c:dPt>
          <c:dPt>
            <c:idx val="25"/>
            <c:invertIfNegative val="0"/>
            <c:bubble3D val="0"/>
            <c:spPr>
              <a:solidFill>
                <a:srgbClr val="FF0000"/>
              </a:solidFill>
              <a:ln>
                <a:noFill/>
              </a:ln>
              <a:effectLst/>
            </c:spPr>
            <c:extLst>
              <c:ext xmlns:c16="http://schemas.microsoft.com/office/drawing/2014/chart" uri="{C3380CC4-5D6E-409C-BE32-E72D297353CC}">
                <c16:uniqueId val="{0000005B-3296-460D-906F-260B97746E06}"/>
              </c:ext>
            </c:extLst>
          </c:dPt>
          <c:dPt>
            <c:idx val="26"/>
            <c:invertIfNegative val="0"/>
            <c:bubble3D val="0"/>
            <c:spPr>
              <a:solidFill>
                <a:srgbClr val="FF0000"/>
              </a:solidFill>
              <a:ln>
                <a:noFill/>
              </a:ln>
              <a:effectLst/>
            </c:spPr>
            <c:extLst>
              <c:ext xmlns:c16="http://schemas.microsoft.com/office/drawing/2014/chart" uri="{C3380CC4-5D6E-409C-BE32-E72D297353CC}">
                <c16:uniqueId val="{0000005A-3296-460D-906F-260B97746E06}"/>
              </c:ext>
            </c:extLst>
          </c:dPt>
          <c:dPt>
            <c:idx val="28"/>
            <c:invertIfNegative val="0"/>
            <c:bubble3D val="0"/>
            <c:spPr>
              <a:solidFill>
                <a:srgbClr val="7030A0"/>
              </a:solidFill>
              <a:ln>
                <a:noFill/>
              </a:ln>
              <a:effectLst/>
            </c:spPr>
            <c:extLst>
              <c:ext xmlns:c16="http://schemas.microsoft.com/office/drawing/2014/chart" uri="{C3380CC4-5D6E-409C-BE32-E72D297353CC}">
                <c16:uniqueId val="{0000005D-3296-460D-906F-260B97746E06}"/>
              </c:ext>
            </c:extLst>
          </c:dPt>
          <c:dPt>
            <c:idx val="29"/>
            <c:invertIfNegative val="0"/>
            <c:bubble3D val="0"/>
            <c:spPr>
              <a:solidFill>
                <a:srgbClr val="7030A0"/>
              </a:solidFill>
              <a:ln>
                <a:noFill/>
              </a:ln>
              <a:effectLst/>
            </c:spPr>
            <c:extLst>
              <c:ext xmlns:c16="http://schemas.microsoft.com/office/drawing/2014/chart" uri="{C3380CC4-5D6E-409C-BE32-E72D297353CC}">
                <c16:uniqueId val="{0000005E-3296-460D-906F-260B97746E06}"/>
              </c:ext>
            </c:extLst>
          </c:dPt>
          <c:dPt>
            <c:idx val="30"/>
            <c:invertIfNegative val="0"/>
            <c:bubble3D val="0"/>
            <c:spPr>
              <a:solidFill>
                <a:srgbClr val="7030A0"/>
              </a:solidFill>
              <a:ln>
                <a:noFill/>
              </a:ln>
              <a:effectLst/>
            </c:spPr>
            <c:extLst>
              <c:ext xmlns:c16="http://schemas.microsoft.com/office/drawing/2014/chart" uri="{C3380CC4-5D6E-409C-BE32-E72D297353CC}">
                <c16:uniqueId val="{0000005F-3296-460D-906F-260B97746E06}"/>
              </c:ext>
            </c:extLst>
          </c:dPt>
          <c:dPt>
            <c:idx val="31"/>
            <c:invertIfNegative val="0"/>
            <c:bubble3D val="0"/>
            <c:spPr>
              <a:solidFill>
                <a:srgbClr val="7030A0"/>
              </a:solidFill>
              <a:ln>
                <a:noFill/>
              </a:ln>
              <a:effectLst/>
            </c:spPr>
            <c:extLst>
              <c:ext xmlns:c16="http://schemas.microsoft.com/office/drawing/2014/chart" uri="{C3380CC4-5D6E-409C-BE32-E72D297353CC}">
                <c16:uniqueId val="{00000060-3296-460D-906F-260B97746E06}"/>
              </c:ext>
            </c:extLst>
          </c:dPt>
          <c:dPt>
            <c:idx val="32"/>
            <c:invertIfNegative val="0"/>
            <c:bubble3D val="0"/>
            <c:spPr>
              <a:solidFill>
                <a:srgbClr val="7030A0"/>
              </a:solidFill>
              <a:ln>
                <a:noFill/>
              </a:ln>
              <a:effectLst/>
            </c:spPr>
            <c:extLst>
              <c:ext xmlns:c16="http://schemas.microsoft.com/office/drawing/2014/chart" uri="{C3380CC4-5D6E-409C-BE32-E72D297353CC}">
                <c16:uniqueId val="{00000061-3296-460D-906F-260B97746E06}"/>
              </c:ext>
            </c:extLst>
          </c:dPt>
          <c:dPt>
            <c:idx val="33"/>
            <c:invertIfNegative val="0"/>
            <c:bubble3D val="0"/>
            <c:spPr>
              <a:solidFill>
                <a:srgbClr val="7030A0"/>
              </a:solidFill>
              <a:ln>
                <a:noFill/>
              </a:ln>
              <a:effectLst/>
            </c:spPr>
            <c:extLst>
              <c:ext xmlns:c16="http://schemas.microsoft.com/office/drawing/2014/chart" uri="{C3380CC4-5D6E-409C-BE32-E72D297353CC}">
                <c16:uniqueId val="{00000062-3296-460D-906F-260B97746E06}"/>
              </c:ext>
            </c:extLst>
          </c:dPt>
          <c:dPt>
            <c:idx val="34"/>
            <c:invertIfNegative val="0"/>
            <c:bubble3D val="0"/>
            <c:spPr>
              <a:solidFill>
                <a:srgbClr val="7030A0"/>
              </a:solidFill>
              <a:ln>
                <a:noFill/>
              </a:ln>
              <a:effectLst/>
            </c:spPr>
            <c:extLst>
              <c:ext xmlns:c16="http://schemas.microsoft.com/office/drawing/2014/chart" uri="{C3380CC4-5D6E-409C-BE32-E72D297353CC}">
                <c16:uniqueId val="{00000063-3296-460D-906F-260B97746E06}"/>
              </c:ext>
            </c:extLst>
          </c:dPt>
          <c:dPt>
            <c:idx val="35"/>
            <c:invertIfNegative val="0"/>
            <c:bubble3D val="0"/>
            <c:spPr>
              <a:solidFill>
                <a:srgbClr val="7030A0"/>
              </a:solidFill>
              <a:ln>
                <a:noFill/>
              </a:ln>
              <a:effectLst/>
            </c:spPr>
            <c:extLst>
              <c:ext xmlns:c16="http://schemas.microsoft.com/office/drawing/2014/chart" uri="{C3380CC4-5D6E-409C-BE32-E72D297353CC}">
                <c16:uniqueId val="{00000064-3296-460D-906F-260B97746E06}"/>
              </c:ext>
            </c:extLst>
          </c:dPt>
          <c:dPt>
            <c:idx val="36"/>
            <c:invertIfNegative val="0"/>
            <c:bubble3D val="0"/>
            <c:spPr>
              <a:solidFill>
                <a:srgbClr val="7030A0"/>
              </a:solidFill>
              <a:ln>
                <a:noFill/>
              </a:ln>
              <a:effectLst/>
            </c:spPr>
            <c:extLst>
              <c:ext xmlns:c16="http://schemas.microsoft.com/office/drawing/2014/chart" uri="{C3380CC4-5D6E-409C-BE32-E72D297353CC}">
                <c16:uniqueId val="{00000065-3296-460D-906F-260B97746E06}"/>
              </c:ext>
            </c:extLst>
          </c:dPt>
          <c:dPt>
            <c:idx val="37"/>
            <c:invertIfNegative val="0"/>
            <c:bubble3D val="0"/>
            <c:spPr>
              <a:solidFill>
                <a:srgbClr val="7030A0"/>
              </a:solidFill>
              <a:ln>
                <a:noFill/>
              </a:ln>
              <a:effectLst/>
            </c:spPr>
            <c:extLst>
              <c:ext xmlns:c16="http://schemas.microsoft.com/office/drawing/2014/chart" uri="{C3380CC4-5D6E-409C-BE32-E72D297353CC}">
                <c16:uniqueId val="{00000066-3296-460D-906F-260B97746E06}"/>
              </c:ext>
            </c:extLst>
          </c:dPt>
          <c:dPt>
            <c:idx val="38"/>
            <c:invertIfNegative val="0"/>
            <c:bubble3D val="0"/>
            <c:spPr>
              <a:solidFill>
                <a:srgbClr val="7030A0"/>
              </a:solidFill>
              <a:ln>
                <a:noFill/>
              </a:ln>
              <a:effectLst/>
            </c:spPr>
            <c:extLst>
              <c:ext xmlns:c16="http://schemas.microsoft.com/office/drawing/2014/chart" uri="{C3380CC4-5D6E-409C-BE32-E72D297353CC}">
                <c16:uniqueId val="{00000068-3296-460D-906F-260B97746E06}"/>
              </c:ext>
            </c:extLst>
          </c:dPt>
          <c:dPt>
            <c:idx val="39"/>
            <c:invertIfNegative val="0"/>
            <c:bubble3D val="0"/>
            <c:spPr>
              <a:solidFill>
                <a:srgbClr val="7030A0"/>
              </a:solidFill>
              <a:ln>
                <a:noFill/>
              </a:ln>
              <a:effectLst/>
            </c:spPr>
            <c:extLst>
              <c:ext xmlns:c16="http://schemas.microsoft.com/office/drawing/2014/chart" uri="{C3380CC4-5D6E-409C-BE32-E72D297353CC}">
                <c16:uniqueId val="{00000067-3296-460D-906F-260B97746E06}"/>
              </c:ext>
            </c:extLst>
          </c:dPt>
          <c:dPt>
            <c:idx val="40"/>
            <c:invertIfNegative val="0"/>
            <c:bubble3D val="0"/>
            <c:spPr>
              <a:solidFill>
                <a:srgbClr val="7030A0"/>
              </a:solidFill>
              <a:ln>
                <a:noFill/>
              </a:ln>
              <a:effectLst/>
            </c:spPr>
            <c:extLst>
              <c:ext xmlns:c16="http://schemas.microsoft.com/office/drawing/2014/chart" uri="{C3380CC4-5D6E-409C-BE32-E72D297353CC}">
                <c16:uniqueId val="{00000069-3296-460D-906F-260B97746E06}"/>
              </c:ext>
            </c:extLst>
          </c:dPt>
          <c:dPt>
            <c:idx val="42"/>
            <c:invertIfNegative val="0"/>
            <c:bubble3D val="0"/>
            <c:spPr>
              <a:solidFill>
                <a:srgbClr val="FFC000"/>
              </a:solidFill>
              <a:ln>
                <a:noFill/>
              </a:ln>
              <a:effectLst/>
            </c:spPr>
            <c:extLst>
              <c:ext xmlns:c16="http://schemas.microsoft.com/office/drawing/2014/chart" uri="{C3380CC4-5D6E-409C-BE32-E72D297353CC}">
                <c16:uniqueId val="{0000006B-3296-460D-906F-260B97746E06}"/>
              </c:ext>
            </c:extLst>
          </c:dPt>
          <c:dPt>
            <c:idx val="43"/>
            <c:invertIfNegative val="0"/>
            <c:bubble3D val="0"/>
            <c:spPr>
              <a:solidFill>
                <a:srgbClr val="FFC000"/>
              </a:solidFill>
              <a:ln>
                <a:noFill/>
              </a:ln>
              <a:effectLst/>
            </c:spPr>
            <c:extLst>
              <c:ext xmlns:c16="http://schemas.microsoft.com/office/drawing/2014/chart" uri="{C3380CC4-5D6E-409C-BE32-E72D297353CC}">
                <c16:uniqueId val="{0000006C-3296-460D-906F-260B97746E06}"/>
              </c:ext>
            </c:extLst>
          </c:dPt>
          <c:dPt>
            <c:idx val="44"/>
            <c:invertIfNegative val="0"/>
            <c:bubble3D val="0"/>
            <c:spPr>
              <a:solidFill>
                <a:srgbClr val="FFC000"/>
              </a:solidFill>
              <a:ln>
                <a:noFill/>
              </a:ln>
              <a:effectLst/>
            </c:spPr>
            <c:extLst>
              <c:ext xmlns:c16="http://schemas.microsoft.com/office/drawing/2014/chart" uri="{C3380CC4-5D6E-409C-BE32-E72D297353CC}">
                <c16:uniqueId val="{0000006D-3296-460D-906F-260B97746E06}"/>
              </c:ext>
            </c:extLst>
          </c:dPt>
          <c:dPt>
            <c:idx val="45"/>
            <c:invertIfNegative val="0"/>
            <c:bubble3D val="0"/>
            <c:spPr>
              <a:solidFill>
                <a:srgbClr val="FFC000"/>
              </a:solidFill>
              <a:ln>
                <a:noFill/>
              </a:ln>
              <a:effectLst/>
            </c:spPr>
            <c:extLst>
              <c:ext xmlns:c16="http://schemas.microsoft.com/office/drawing/2014/chart" uri="{C3380CC4-5D6E-409C-BE32-E72D297353CC}">
                <c16:uniqueId val="{0000006E-3296-460D-906F-260B97746E06}"/>
              </c:ext>
            </c:extLst>
          </c:dPt>
          <c:dPt>
            <c:idx val="46"/>
            <c:invertIfNegative val="0"/>
            <c:bubble3D val="0"/>
            <c:spPr>
              <a:solidFill>
                <a:srgbClr val="FFC000"/>
              </a:solidFill>
              <a:ln>
                <a:noFill/>
              </a:ln>
              <a:effectLst/>
            </c:spPr>
            <c:extLst>
              <c:ext xmlns:c16="http://schemas.microsoft.com/office/drawing/2014/chart" uri="{C3380CC4-5D6E-409C-BE32-E72D297353CC}">
                <c16:uniqueId val="{0000006F-3296-460D-906F-260B97746E06}"/>
              </c:ext>
            </c:extLst>
          </c:dPt>
          <c:dPt>
            <c:idx val="47"/>
            <c:invertIfNegative val="0"/>
            <c:bubble3D val="0"/>
            <c:spPr>
              <a:solidFill>
                <a:srgbClr val="FFC000"/>
              </a:solidFill>
              <a:ln>
                <a:noFill/>
              </a:ln>
              <a:effectLst/>
            </c:spPr>
            <c:extLst>
              <c:ext xmlns:c16="http://schemas.microsoft.com/office/drawing/2014/chart" uri="{C3380CC4-5D6E-409C-BE32-E72D297353CC}">
                <c16:uniqueId val="{00000070-3296-460D-906F-260B97746E06}"/>
              </c:ext>
            </c:extLst>
          </c:dPt>
          <c:dPt>
            <c:idx val="48"/>
            <c:invertIfNegative val="0"/>
            <c:bubble3D val="0"/>
            <c:spPr>
              <a:solidFill>
                <a:srgbClr val="FFC000"/>
              </a:solidFill>
              <a:ln>
                <a:noFill/>
              </a:ln>
              <a:effectLst/>
            </c:spPr>
            <c:extLst>
              <c:ext xmlns:c16="http://schemas.microsoft.com/office/drawing/2014/chart" uri="{C3380CC4-5D6E-409C-BE32-E72D297353CC}">
                <c16:uniqueId val="{00000071-3296-460D-906F-260B97746E06}"/>
              </c:ext>
            </c:extLst>
          </c:dPt>
          <c:dPt>
            <c:idx val="49"/>
            <c:invertIfNegative val="0"/>
            <c:bubble3D val="0"/>
            <c:spPr>
              <a:solidFill>
                <a:srgbClr val="FFC000"/>
              </a:solidFill>
              <a:ln>
                <a:noFill/>
              </a:ln>
              <a:effectLst/>
            </c:spPr>
            <c:extLst>
              <c:ext xmlns:c16="http://schemas.microsoft.com/office/drawing/2014/chart" uri="{C3380CC4-5D6E-409C-BE32-E72D297353CC}">
                <c16:uniqueId val="{00000072-3296-460D-906F-260B97746E06}"/>
              </c:ext>
            </c:extLst>
          </c:dPt>
          <c:dPt>
            <c:idx val="50"/>
            <c:invertIfNegative val="0"/>
            <c:bubble3D val="0"/>
            <c:spPr>
              <a:solidFill>
                <a:srgbClr val="FFC000"/>
              </a:solidFill>
              <a:ln>
                <a:noFill/>
              </a:ln>
              <a:effectLst/>
            </c:spPr>
            <c:extLst>
              <c:ext xmlns:c16="http://schemas.microsoft.com/office/drawing/2014/chart" uri="{C3380CC4-5D6E-409C-BE32-E72D297353CC}">
                <c16:uniqueId val="{00000073-3296-460D-906F-260B97746E06}"/>
              </c:ext>
            </c:extLst>
          </c:dPt>
          <c:dPt>
            <c:idx val="51"/>
            <c:invertIfNegative val="0"/>
            <c:bubble3D val="0"/>
            <c:spPr>
              <a:solidFill>
                <a:srgbClr val="FFC000"/>
              </a:solidFill>
              <a:ln>
                <a:noFill/>
              </a:ln>
              <a:effectLst/>
            </c:spPr>
            <c:extLst>
              <c:ext xmlns:c16="http://schemas.microsoft.com/office/drawing/2014/chart" uri="{C3380CC4-5D6E-409C-BE32-E72D297353CC}">
                <c16:uniqueId val="{00000075-3296-460D-906F-260B97746E06}"/>
              </c:ext>
            </c:extLst>
          </c:dPt>
          <c:dPt>
            <c:idx val="52"/>
            <c:invertIfNegative val="0"/>
            <c:bubble3D val="0"/>
            <c:spPr>
              <a:solidFill>
                <a:srgbClr val="FFC000"/>
              </a:solidFill>
              <a:ln>
                <a:noFill/>
              </a:ln>
              <a:effectLst/>
            </c:spPr>
            <c:extLst>
              <c:ext xmlns:c16="http://schemas.microsoft.com/office/drawing/2014/chart" uri="{C3380CC4-5D6E-409C-BE32-E72D297353CC}">
                <c16:uniqueId val="{00000074-3296-460D-906F-260B97746E06}"/>
              </c:ext>
            </c:extLst>
          </c:dPt>
          <c:dPt>
            <c:idx val="53"/>
            <c:invertIfNegative val="0"/>
            <c:bubble3D val="0"/>
            <c:spPr>
              <a:solidFill>
                <a:srgbClr val="FFC000"/>
              </a:solidFill>
              <a:ln>
                <a:noFill/>
              </a:ln>
              <a:effectLst/>
            </c:spPr>
            <c:extLst>
              <c:ext xmlns:c16="http://schemas.microsoft.com/office/drawing/2014/chart" uri="{C3380CC4-5D6E-409C-BE32-E72D297353CC}">
                <c16:uniqueId val="{00000076-3296-460D-906F-260B97746E06}"/>
              </c:ext>
            </c:extLst>
          </c:dPt>
          <c:dPt>
            <c:idx val="54"/>
            <c:invertIfNegative val="0"/>
            <c:bubble3D val="0"/>
            <c:spPr>
              <a:solidFill>
                <a:schemeClr val="accent4"/>
              </a:solidFill>
              <a:ln>
                <a:noFill/>
              </a:ln>
              <a:effectLst/>
            </c:spPr>
            <c:extLst>
              <c:ext xmlns:c16="http://schemas.microsoft.com/office/drawing/2014/chart" uri="{C3380CC4-5D6E-409C-BE32-E72D297353CC}">
                <c16:uniqueId val="{00000077-3296-460D-906F-260B97746E06}"/>
              </c:ext>
            </c:extLst>
          </c:dPt>
          <c:dPt>
            <c:idx val="56"/>
            <c:invertIfNegative val="0"/>
            <c:bubble3D val="0"/>
            <c:spPr>
              <a:solidFill>
                <a:srgbClr val="008000"/>
              </a:solidFill>
              <a:ln>
                <a:noFill/>
              </a:ln>
              <a:effectLst/>
            </c:spPr>
            <c:extLst>
              <c:ext xmlns:c16="http://schemas.microsoft.com/office/drawing/2014/chart" uri="{C3380CC4-5D6E-409C-BE32-E72D297353CC}">
                <c16:uniqueId val="{00000079-3296-460D-906F-260B97746E06}"/>
              </c:ext>
            </c:extLst>
          </c:dPt>
          <c:dPt>
            <c:idx val="57"/>
            <c:invertIfNegative val="0"/>
            <c:bubble3D val="0"/>
            <c:spPr>
              <a:solidFill>
                <a:srgbClr val="008000"/>
              </a:solidFill>
              <a:ln>
                <a:noFill/>
              </a:ln>
              <a:effectLst/>
            </c:spPr>
            <c:extLst>
              <c:ext xmlns:c16="http://schemas.microsoft.com/office/drawing/2014/chart" uri="{C3380CC4-5D6E-409C-BE32-E72D297353CC}">
                <c16:uniqueId val="{0000007A-3296-460D-906F-260B97746E06}"/>
              </c:ext>
            </c:extLst>
          </c:dPt>
          <c:dPt>
            <c:idx val="58"/>
            <c:invertIfNegative val="0"/>
            <c:bubble3D val="0"/>
            <c:spPr>
              <a:solidFill>
                <a:srgbClr val="008000"/>
              </a:solidFill>
              <a:ln>
                <a:noFill/>
              </a:ln>
              <a:effectLst/>
            </c:spPr>
            <c:extLst>
              <c:ext xmlns:c16="http://schemas.microsoft.com/office/drawing/2014/chart" uri="{C3380CC4-5D6E-409C-BE32-E72D297353CC}">
                <c16:uniqueId val="{0000007B-3296-460D-906F-260B97746E06}"/>
              </c:ext>
            </c:extLst>
          </c:dPt>
          <c:dPt>
            <c:idx val="59"/>
            <c:invertIfNegative val="0"/>
            <c:bubble3D val="0"/>
            <c:spPr>
              <a:solidFill>
                <a:srgbClr val="008000"/>
              </a:solidFill>
              <a:ln>
                <a:noFill/>
              </a:ln>
              <a:effectLst/>
            </c:spPr>
            <c:extLst>
              <c:ext xmlns:c16="http://schemas.microsoft.com/office/drawing/2014/chart" uri="{C3380CC4-5D6E-409C-BE32-E72D297353CC}">
                <c16:uniqueId val="{0000007C-3296-460D-906F-260B97746E06}"/>
              </c:ext>
            </c:extLst>
          </c:dPt>
          <c:dPt>
            <c:idx val="60"/>
            <c:invertIfNegative val="0"/>
            <c:bubble3D val="0"/>
            <c:spPr>
              <a:solidFill>
                <a:srgbClr val="008000"/>
              </a:solidFill>
              <a:ln>
                <a:noFill/>
              </a:ln>
              <a:effectLst/>
            </c:spPr>
            <c:extLst>
              <c:ext xmlns:c16="http://schemas.microsoft.com/office/drawing/2014/chart" uri="{C3380CC4-5D6E-409C-BE32-E72D297353CC}">
                <c16:uniqueId val="{0000007D-3296-460D-906F-260B97746E06}"/>
              </c:ext>
            </c:extLst>
          </c:dPt>
          <c:dPt>
            <c:idx val="61"/>
            <c:invertIfNegative val="0"/>
            <c:bubble3D val="0"/>
            <c:spPr>
              <a:solidFill>
                <a:srgbClr val="008000"/>
              </a:solidFill>
              <a:ln>
                <a:noFill/>
              </a:ln>
              <a:effectLst/>
            </c:spPr>
            <c:extLst>
              <c:ext xmlns:c16="http://schemas.microsoft.com/office/drawing/2014/chart" uri="{C3380CC4-5D6E-409C-BE32-E72D297353CC}">
                <c16:uniqueId val="{0000007E-3296-460D-906F-260B97746E06}"/>
              </c:ext>
            </c:extLst>
          </c:dPt>
          <c:dPt>
            <c:idx val="62"/>
            <c:invertIfNegative val="0"/>
            <c:bubble3D val="0"/>
            <c:spPr>
              <a:solidFill>
                <a:srgbClr val="008000"/>
              </a:solidFill>
              <a:ln>
                <a:noFill/>
              </a:ln>
              <a:effectLst/>
            </c:spPr>
            <c:extLst>
              <c:ext xmlns:c16="http://schemas.microsoft.com/office/drawing/2014/chart" uri="{C3380CC4-5D6E-409C-BE32-E72D297353CC}">
                <c16:uniqueId val="{0000007F-3296-460D-906F-260B97746E06}"/>
              </c:ext>
            </c:extLst>
          </c:dPt>
          <c:dPt>
            <c:idx val="63"/>
            <c:invertIfNegative val="0"/>
            <c:bubble3D val="0"/>
            <c:spPr>
              <a:solidFill>
                <a:srgbClr val="008000"/>
              </a:solidFill>
              <a:ln>
                <a:noFill/>
              </a:ln>
              <a:effectLst/>
            </c:spPr>
            <c:extLst>
              <c:ext xmlns:c16="http://schemas.microsoft.com/office/drawing/2014/chart" uri="{C3380CC4-5D6E-409C-BE32-E72D297353CC}">
                <c16:uniqueId val="{00000080-3296-460D-906F-260B97746E06}"/>
              </c:ext>
            </c:extLst>
          </c:dPt>
          <c:dPt>
            <c:idx val="64"/>
            <c:invertIfNegative val="0"/>
            <c:bubble3D val="0"/>
            <c:spPr>
              <a:solidFill>
                <a:srgbClr val="008000"/>
              </a:solidFill>
              <a:ln>
                <a:noFill/>
              </a:ln>
              <a:effectLst/>
            </c:spPr>
            <c:extLst>
              <c:ext xmlns:c16="http://schemas.microsoft.com/office/drawing/2014/chart" uri="{C3380CC4-5D6E-409C-BE32-E72D297353CC}">
                <c16:uniqueId val="{00000079-91A4-4575-967A-4CDD94E3C0C3}"/>
              </c:ext>
            </c:extLst>
          </c:dPt>
          <c:dPt>
            <c:idx val="65"/>
            <c:invertIfNegative val="0"/>
            <c:bubble3D val="0"/>
            <c:spPr>
              <a:solidFill>
                <a:srgbClr val="008000"/>
              </a:solidFill>
              <a:ln>
                <a:noFill/>
              </a:ln>
              <a:effectLst/>
            </c:spPr>
            <c:extLst>
              <c:ext xmlns:c16="http://schemas.microsoft.com/office/drawing/2014/chart" uri="{C3380CC4-5D6E-409C-BE32-E72D297353CC}">
                <c16:uniqueId val="{0000007B-91A4-4575-967A-4CDD94E3C0C3}"/>
              </c:ext>
            </c:extLst>
          </c:dPt>
          <c:dPt>
            <c:idx val="66"/>
            <c:invertIfNegative val="0"/>
            <c:bubble3D val="0"/>
            <c:spPr>
              <a:solidFill>
                <a:srgbClr val="008000"/>
              </a:solidFill>
              <a:ln>
                <a:noFill/>
              </a:ln>
              <a:effectLst/>
            </c:spPr>
            <c:extLst>
              <c:ext xmlns:c16="http://schemas.microsoft.com/office/drawing/2014/chart" uri="{C3380CC4-5D6E-409C-BE32-E72D297353CC}">
                <c16:uniqueId val="{0000007D-91A4-4575-967A-4CDD94E3C0C3}"/>
              </c:ext>
            </c:extLst>
          </c:dPt>
          <c:dPt>
            <c:idx val="67"/>
            <c:invertIfNegative val="0"/>
            <c:bubble3D val="0"/>
            <c:spPr>
              <a:solidFill>
                <a:srgbClr val="008000"/>
              </a:solidFill>
              <a:ln>
                <a:noFill/>
              </a:ln>
              <a:effectLst/>
            </c:spPr>
            <c:extLst>
              <c:ext xmlns:c16="http://schemas.microsoft.com/office/drawing/2014/chart" uri="{C3380CC4-5D6E-409C-BE32-E72D297353CC}">
                <c16:uniqueId val="{0000007F-91A4-4575-967A-4CDD94E3C0C3}"/>
              </c:ext>
            </c:extLst>
          </c:dPt>
          <c:dPt>
            <c:idx val="68"/>
            <c:invertIfNegative val="0"/>
            <c:bubble3D val="0"/>
            <c:spPr>
              <a:solidFill>
                <a:srgbClr val="008000"/>
              </a:solidFill>
              <a:ln>
                <a:noFill/>
              </a:ln>
              <a:effectLst/>
            </c:spPr>
            <c:extLst>
              <c:ext xmlns:c16="http://schemas.microsoft.com/office/drawing/2014/chart" uri="{C3380CC4-5D6E-409C-BE32-E72D297353CC}">
                <c16:uniqueId val="{00000102-7936-4109-ABF3-0CEE64F8C3C6}"/>
              </c:ext>
            </c:extLst>
          </c:dPt>
          <c:dLbls>
            <c:dLbl>
              <c:idx val="42"/>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B-3296-460D-906F-260B97746E06}"/>
                </c:ext>
              </c:extLst>
            </c:dLbl>
            <c:dLbl>
              <c:idx val="43"/>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C-3296-460D-906F-260B97746E06}"/>
                </c:ext>
              </c:extLst>
            </c:dLbl>
            <c:dLbl>
              <c:idx val="44"/>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D-3296-460D-906F-260B97746E06}"/>
                </c:ext>
              </c:extLst>
            </c:dLbl>
            <c:dLbl>
              <c:idx val="45"/>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E-3296-460D-906F-260B97746E06}"/>
                </c:ext>
              </c:extLst>
            </c:dLbl>
            <c:dLbl>
              <c:idx val="46"/>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F-3296-460D-906F-260B97746E06}"/>
                </c:ext>
              </c:extLst>
            </c:dLbl>
            <c:dLbl>
              <c:idx val="47"/>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0-3296-460D-906F-260B97746E06}"/>
                </c:ext>
              </c:extLst>
            </c:dLbl>
            <c:dLbl>
              <c:idx val="48"/>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1-3296-460D-906F-260B97746E06}"/>
                </c:ext>
              </c:extLst>
            </c:dLbl>
            <c:dLbl>
              <c:idx val="49"/>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2-3296-460D-906F-260B97746E06}"/>
                </c:ext>
              </c:extLst>
            </c:dLbl>
            <c:dLbl>
              <c:idx val="50"/>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3-3296-460D-906F-260B97746E06}"/>
                </c:ext>
              </c:extLst>
            </c:dLbl>
            <c:dLbl>
              <c:idx val="51"/>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5-3296-460D-906F-260B97746E06}"/>
                </c:ext>
              </c:extLst>
            </c:dLbl>
            <c:dLbl>
              <c:idx val="52"/>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4-3296-460D-906F-260B97746E06}"/>
                </c:ext>
              </c:extLst>
            </c:dLbl>
            <c:dLbl>
              <c:idx val="53"/>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6-3296-460D-906F-260B97746E06}"/>
                </c:ext>
              </c:extLst>
            </c:dLbl>
            <c:dLbl>
              <c:idx val="54"/>
              <c:spPr>
                <a:noFill/>
                <a:ln>
                  <a:noFill/>
                </a:ln>
                <a:effectLst/>
              </c:spPr>
              <c:txPr>
                <a:bodyPr rot="0" spcFirstLastPara="1" vertOverflow="ellipsis" vert="horz" wrap="square" anchor="ctr" anchorCtr="1"/>
                <a:lstStyle/>
                <a:p>
                  <a:pPr>
                    <a:defRPr sz="1000" b="0" i="0" u="none" strike="noStrike" kern="1200" baseline="0">
                      <a:solidFill>
                        <a:schemeClr val="accent2">
                          <a:lumMod val="75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77-3296-460D-906F-260B97746E06}"/>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filed'!$AE$103:$CU$103</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Patent applications filed'!$AE$104:$CU$104</c:f>
              <c:numCache>
                <c:formatCode>#,##0.0</c:formatCode>
                <c:ptCount val="69"/>
                <c:pt idx="0">
                  <c:v>74.408000000000001</c:v>
                </c:pt>
                <c:pt idx="1">
                  <c:v>71.903999999999996</c:v>
                </c:pt>
                <c:pt idx="2">
                  <c:v>72.965000000000003</c:v>
                </c:pt>
                <c:pt idx="3">
                  <c:v>73.42</c:v>
                </c:pt>
                <c:pt idx="4">
                  <c:v>75.180000000000007</c:v>
                </c:pt>
                <c:pt idx="5">
                  <c:v>76.096999999999994</c:v>
                </c:pt>
                <c:pt idx="6">
                  <c:v>76.052000000000007</c:v>
                </c:pt>
                <c:pt idx="7">
                  <c:v>78.492999999999995</c:v>
                </c:pt>
                <c:pt idx="8">
                  <c:v>81.593999999999994</c:v>
                </c:pt>
                <c:pt idx="9">
                  <c:v>82.554000000000002</c:v>
                </c:pt>
                <c:pt idx="10">
                  <c:v>81.531000000000006</c:v>
                </c:pt>
                <c:pt idx="11">
                  <c:v>83.894000000000005</c:v>
                </c:pt>
                <c:pt idx="12">
                  <c:v>83.954999999999998</c:v>
                </c:pt>
                <c:pt idx="14">
                  <c:v>290.08100000000002</c:v>
                </c:pt>
                <c:pt idx="15">
                  <c:v>287.58</c:v>
                </c:pt>
                <c:pt idx="16">
                  <c:v>287.01299999999998</c:v>
                </c:pt>
                <c:pt idx="17">
                  <c:v>271.73099999999999</c:v>
                </c:pt>
                <c:pt idx="18">
                  <c:v>265.959</c:v>
                </c:pt>
                <c:pt idx="19">
                  <c:v>258.839</c:v>
                </c:pt>
                <c:pt idx="20">
                  <c:v>260.24400000000003</c:v>
                </c:pt>
                <c:pt idx="21">
                  <c:v>260.29000000000002</c:v>
                </c:pt>
                <c:pt idx="22">
                  <c:v>253.63</c:v>
                </c:pt>
                <c:pt idx="23">
                  <c:v>245.37200000000001</c:v>
                </c:pt>
                <c:pt idx="24">
                  <c:v>227.34800000000001</c:v>
                </c:pt>
                <c:pt idx="25">
                  <c:v>222.452</c:v>
                </c:pt>
                <c:pt idx="26">
                  <c:v>218.81299999999999</c:v>
                </c:pt>
                <c:pt idx="28">
                  <c:v>131.80500000000001</c:v>
                </c:pt>
                <c:pt idx="29">
                  <c:v>138.03399999999999</c:v>
                </c:pt>
                <c:pt idx="30">
                  <c:v>148.136</c:v>
                </c:pt>
                <c:pt idx="31">
                  <c:v>159.97800000000001</c:v>
                </c:pt>
                <c:pt idx="32">
                  <c:v>164.07300000000001</c:v>
                </c:pt>
                <c:pt idx="33">
                  <c:v>167.273</c:v>
                </c:pt>
                <c:pt idx="34">
                  <c:v>163.423</c:v>
                </c:pt>
                <c:pt idx="35">
                  <c:v>159.03100000000001</c:v>
                </c:pt>
                <c:pt idx="36">
                  <c:v>162.57599999999999</c:v>
                </c:pt>
                <c:pt idx="37">
                  <c:v>171.60300000000001</c:v>
                </c:pt>
                <c:pt idx="38">
                  <c:v>180.477</c:v>
                </c:pt>
                <c:pt idx="39">
                  <c:v>186.245</c:v>
                </c:pt>
                <c:pt idx="40">
                  <c:v>183.74799999999999</c:v>
                </c:pt>
                <c:pt idx="42">
                  <c:v>293.06599999999997</c:v>
                </c:pt>
                <c:pt idx="43">
                  <c:v>415.82900000000001</c:v>
                </c:pt>
                <c:pt idx="44">
                  <c:v>535.31500000000005</c:v>
                </c:pt>
                <c:pt idx="45">
                  <c:v>704.93600000000004</c:v>
                </c:pt>
                <c:pt idx="46">
                  <c:v>801.13499999999999</c:v>
                </c:pt>
                <c:pt idx="47">
                  <c:v>968.25099999999998</c:v>
                </c:pt>
                <c:pt idx="48">
                  <c:v>1204.981</c:v>
                </c:pt>
                <c:pt idx="49">
                  <c:v>1245.7090000000001</c:v>
                </c:pt>
                <c:pt idx="50">
                  <c:v>1393.8150000000001</c:v>
                </c:pt>
                <c:pt idx="51">
                  <c:v>1243.568</c:v>
                </c:pt>
                <c:pt idx="52">
                  <c:v>1344.817</c:v>
                </c:pt>
                <c:pt idx="53">
                  <c:v>1427.845</c:v>
                </c:pt>
                <c:pt idx="54">
                  <c:v>1464.605</c:v>
                </c:pt>
                <c:pt idx="56">
                  <c:v>241.977</c:v>
                </c:pt>
                <c:pt idx="57">
                  <c:v>247.75</c:v>
                </c:pt>
                <c:pt idx="58">
                  <c:v>268.78199999999998</c:v>
                </c:pt>
                <c:pt idx="59">
                  <c:v>293.58800000000002</c:v>
                </c:pt>
                <c:pt idx="60">
                  <c:v>285.096</c:v>
                </c:pt>
                <c:pt idx="61">
                  <c:v>288.33499999999998</c:v>
                </c:pt>
                <c:pt idx="62">
                  <c:v>295.327</c:v>
                </c:pt>
                <c:pt idx="63">
                  <c:v>293.904</c:v>
                </c:pt>
                <c:pt idx="64">
                  <c:v>285.09500000000003</c:v>
                </c:pt>
                <c:pt idx="65">
                  <c:v>292.99799999999999</c:v>
                </c:pt>
                <c:pt idx="66">
                  <c:v>277.29700000000003</c:v>
                </c:pt>
                <c:pt idx="67">
                  <c:v>281.99599999999998</c:v>
                </c:pt>
                <c:pt idx="68">
                  <c:v>273.58499999999998</c:v>
                </c:pt>
              </c:numCache>
            </c:numRef>
          </c:val>
          <c:extLst>
            <c:ext xmlns:c16="http://schemas.microsoft.com/office/drawing/2014/chart" uri="{C3380CC4-5D6E-409C-BE32-E72D297353CC}">
              <c16:uniqueId val="{00000000-3296-460D-906F-260B97746E06}"/>
            </c:ext>
          </c:extLst>
        </c:ser>
        <c:ser>
          <c:idx val="1"/>
          <c:order val="1"/>
          <c:tx>
            <c:strRef>
              <c:f>'Ch4. Patent applications filed'!$B$46</c:f>
              <c:strCache>
                <c:ptCount val="1"/>
                <c:pt idx="0">
                  <c:v>Foreign</c:v>
                </c:pt>
              </c:strCache>
            </c:strRef>
          </c:tx>
          <c:spPr>
            <a:solidFill>
              <a:schemeClr val="accent1">
                <a:lumMod val="40000"/>
                <a:lumOff val="60000"/>
              </a:schemeClr>
            </a:solidFill>
            <a:ln>
              <a:noFill/>
            </a:ln>
            <a:effectLst/>
          </c:spPr>
          <c:invertIfNegative val="0"/>
          <c:dPt>
            <c:idx val="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1-3296-460D-906F-260B97746E06}"/>
              </c:ext>
            </c:extLst>
          </c:dPt>
          <c:dPt>
            <c:idx val="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2-3296-460D-906F-260B97746E06}"/>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3-3296-460D-906F-260B97746E06}"/>
              </c:ext>
            </c:extLst>
          </c:dPt>
          <c:dPt>
            <c:idx val="3"/>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4-3296-460D-906F-260B97746E06}"/>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5-3296-460D-906F-260B97746E06}"/>
              </c:ext>
            </c:extLst>
          </c:dPt>
          <c:dPt>
            <c:idx val="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6-3296-460D-906F-260B97746E06}"/>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7-3296-460D-906F-260B97746E06}"/>
              </c:ext>
            </c:extLst>
          </c:dPt>
          <c:dPt>
            <c:idx val="7"/>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8-3296-460D-906F-260B97746E06}"/>
              </c:ext>
            </c:extLst>
          </c:dPt>
          <c:dPt>
            <c:idx val="8"/>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9-3296-460D-906F-260B97746E06}"/>
              </c:ext>
            </c:extLst>
          </c:dPt>
          <c:dPt>
            <c:idx val="9"/>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A-3296-460D-906F-260B97746E06}"/>
              </c:ext>
            </c:extLst>
          </c:dPt>
          <c:dPt>
            <c:idx val="1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B-3296-460D-906F-260B97746E06}"/>
              </c:ext>
            </c:extLst>
          </c:dPt>
          <c:dPt>
            <c:idx val="1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C-3296-460D-906F-260B97746E06}"/>
              </c:ext>
            </c:extLst>
          </c:dPt>
          <c:dPt>
            <c:idx val="1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8E-3296-460D-906F-260B97746E06}"/>
              </c:ext>
            </c:extLst>
          </c:dPt>
          <c:dPt>
            <c:idx val="14"/>
            <c:invertIfNegative val="0"/>
            <c:bubble3D val="0"/>
            <c:spPr>
              <a:solidFill>
                <a:srgbClr val="FCB7A2"/>
              </a:solidFill>
              <a:ln>
                <a:noFill/>
              </a:ln>
              <a:effectLst/>
            </c:spPr>
            <c:extLst>
              <c:ext xmlns:c16="http://schemas.microsoft.com/office/drawing/2014/chart" uri="{C3380CC4-5D6E-409C-BE32-E72D297353CC}">
                <c16:uniqueId val="{0000008F-3296-460D-906F-260B97746E06}"/>
              </c:ext>
            </c:extLst>
          </c:dPt>
          <c:dPt>
            <c:idx val="15"/>
            <c:invertIfNegative val="0"/>
            <c:bubble3D val="0"/>
            <c:spPr>
              <a:solidFill>
                <a:srgbClr val="FCB7A2"/>
              </a:solidFill>
              <a:ln>
                <a:noFill/>
              </a:ln>
              <a:effectLst/>
            </c:spPr>
            <c:extLst>
              <c:ext xmlns:c16="http://schemas.microsoft.com/office/drawing/2014/chart" uri="{C3380CC4-5D6E-409C-BE32-E72D297353CC}">
                <c16:uniqueId val="{00000090-3296-460D-906F-260B97746E06}"/>
              </c:ext>
            </c:extLst>
          </c:dPt>
          <c:dPt>
            <c:idx val="16"/>
            <c:invertIfNegative val="0"/>
            <c:bubble3D val="0"/>
            <c:spPr>
              <a:solidFill>
                <a:srgbClr val="FCB7A2"/>
              </a:solidFill>
              <a:ln>
                <a:noFill/>
              </a:ln>
              <a:effectLst/>
            </c:spPr>
            <c:extLst>
              <c:ext xmlns:c16="http://schemas.microsoft.com/office/drawing/2014/chart" uri="{C3380CC4-5D6E-409C-BE32-E72D297353CC}">
                <c16:uniqueId val="{00000091-3296-460D-906F-260B97746E06}"/>
              </c:ext>
            </c:extLst>
          </c:dPt>
          <c:dPt>
            <c:idx val="17"/>
            <c:invertIfNegative val="0"/>
            <c:bubble3D val="0"/>
            <c:spPr>
              <a:solidFill>
                <a:srgbClr val="FCB7A2"/>
              </a:solidFill>
              <a:ln>
                <a:noFill/>
              </a:ln>
              <a:effectLst/>
            </c:spPr>
            <c:extLst>
              <c:ext xmlns:c16="http://schemas.microsoft.com/office/drawing/2014/chart" uri="{C3380CC4-5D6E-409C-BE32-E72D297353CC}">
                <c16:uniqueId val="{00000092-3296-460D-906F-260B97746E06}"/>
              </c:ext>
            </c:extLst>
          </c:dPt>
          <c:dPt>
            <c:idx val="18"/>
            <c:invertIfNegative val="0"/>
            <c:bubble3D val="0"/>
            <c:spPr>
              <a:solidFill>
                <a:srgbClr val="FCB7A2"/>
              </a:solidFill>
              <a:ln>
                <a:noFill/>
              </a:ln>
              <a:effectLst/>
            </c:spPr>
            <c:extLst>
              <c:ext xmlns:c16="http://schemas.microsoft.com/office/drawing/2014/chart" uri="{C3380CC4-5D6E-409C-BE32-E72D297353CC}">
                <c16:uniqueId val="{00000093-3296-460D-906F-260B97746E06}"/>
              </c:ext>
            </c:extLst>
          </c:dPt>
          <c:dPt>
            <c:idx val="19"/>
            <c:invertIfNegative val="0"/>
            <c:bubble3D val="0"/>
            <c:spPr>
              <a:solidFill>
                <a:srgbClr val="FCB7A2"/>
              </a:solidFill>
              <a:ln>
                <a:noFill/>
              </a:ln>
              <a:effectLst/>
            </c:spPr>
            <c:extLst>
              <c:ext xmlns:c16="http://schemas.microsoft.com/office/drawing/2014/chart" uri="{C3380CC4-5D6E-409C-BE32-E72D297353CC}">
                <c16:uniqueId val="{00000094-3296-460D-906F-260B97746E06}"/>
              </c:ext>
            </c:extLst>
          </c:dPt>
          <c:dPt>
            <c:idx val="20"/>
            <c:invertIfNegative val="0"/>
            <c:bubble3D val="0"/>
            <c:spPr>
              <a:solidFill>
                <a:srgbClr val="FCB7A2"/>
              </a:solidFill>
              <a:ln>
                <a:noFill/>
              </a:ln>
              <a:effectLst/>
            </c:spPr>
            <c:extLst>
              <c:ext xmlns:c16="http://schemas.microsoft.com/office/drawing/2014/chart" uri="{C3380CC4-5D6E-409C-BE32-E72D297353CC}">
                <c16:uniqueId val="{00000095-3296-460D-906F-260B97746E06}"/>
              </c:ext>
            </c:extLst>
          </c:dPt>
          <c:dPt>
            <c:idx val="21"/>
            <c:invertIfNegative val="0"/>
            <c:bubble3D val="0"/>
            <c:spPr>
              <a:solidFill>
                <a:srgbClr val="FCB7A2"/>
              </a:solidFill>
              <a:ln>
                <a:noFill/>
              </a:ln>
              <a:effectLst/>
            </c:spPr>
            <c:extLst>
              <c:ext xmlns:c16="http://schemas.microsoft.com/office/drawing/2014/chart" uri="{C3380CC4-5D6E-409C-BE32-E72D297353CC}">
                <c16:uniqueId val="{00000096-3296-460D-906F-260B97746E06}"/>
              </c:ext>
            </c:extLst>
          </c:dPt>
          <c:dPt>
            <c:idx val="22"/>
            <c:invertIfNegative val="0"/>
            <c:bubble3D val="0"/>
            <c:spPr>
              <a:solidFill>
                <a:srgbClr val="FCB7A2"/>
              </a:solidFill>
              <a:ln>
                <a:noFill/>
              </a:ln>
              <a:effectLst/>
            </c:spPr>
            <c:extLst>
              <c:ext xmlns:c16="http://schemas.microsoft.com/office/drawing/2014/chart" uri="{C3380CC4-5D6E-409C-BE32-E72D297353CC}">
                <c16:uniqueId val="{00000097-3296-460D-906F-260B97746E06}"/>
              </c:ext>
            </c:extLst>
          </c:dPt>
          <c:dPt>
            <c:idx val="23"/>
            <c:invertIfNegative val="0"/>
            <c:bubble3D val="0"/>
            <c:spPr>
              <a:solidFill>
                <a:srgbClr val="FCB7A2"/>
              </a:solidFill>
              <a:ln>
                <a:noFill/>
              </a:ln>
              <a:effectLst/>
            </c:spPr>
            <c:extLst>
              <c:ext xmlns:c16="http://schemas.microsoft.com/office/drawing/2014/chart" uri="{C3380CC4-5D6E-409C-BE32-E72D297353CC}">
                <c16:uniqueId val="{00000098-3296-460D-906F-260B97746E06}"/>
              </c:ext>
            </c:extLst>
          </c:dPt>
          <c:dPt>
            <c:idx val="24"/>
            <c:invertIfNegative val="0"/>
            <c:bubble3D val="0"/>
            <c:spPr>
              <a:solidFill>
                <a:srgbClr val="FCB7A2"/>
              </a:solidFill>
              <a:ln>
                <a:noFill/>
              </a:ln>
              <a:effectLst/>
            </c:spPr>
            <c:extLst>
              <c:ext xmlns:c16="http://schemas.microsoft.com/office/drawing/2014/chart" uri="{C3380CC4-5D6E-409C-BE32-E72D297353CC}">
                <c16:uniqueId val="{00000099-3296-460D-906F-260B97746E06}"/>
              </c:ext>
            </c:extLst>
          </c:dPt>
          <c:dPt>
            <c:idx val="25"/>
            <c:invertIfNegative val="0"/>
            <c:bubble3D val="0"/>
            <c:spPr>
              <a:solidFill>
                <a:srgbClr val="FCB7A2"/>
              </a:solidFill>
              <a:ln>
                <a:noFill/>
              </a:ln>
              <a:effectLst/>
            </c:spPr>
            <c:extLst>
              <c:ext xmlns:c16="http://schemas.microsoft.com/office/drawing/2014/chart" uri="{C3380CC4-5D6E-409C-BE32-E72D297353CC}">
                <c16:uniqueId val="{0000009B-3296-460D-906F-260B97746E06}"/>
              </c:ext>
            </c:extLst>
          </c:dPt>
          <c:dPt>
            <c:idx val="26"/>
            <c:invertIfNegative val="0"/>
            <c:bubble3D val="0"/>
            <c:spPr>
              <a:solidFill>
                <a:srgbClr val="FCB7A2"/>
              </a:solidFill>
              <a:ln>
                <a:noFill/>
              </a:ln>
              <a:effectLst/>
            </c:spPr>
            <c:extLst>
              <c:ext xmlns:c16="http://schemas.microsoft.com/office/drawing/2014/chart" uri="{C3380CC4-5D6E-409C-BE32-E72D297353CC}">
                <c16:uniqueId val="{0000009A-3296-460D-906F-260B97746E06}"/>
              </c:ext>
            </c:extLst>
          </c:dPt>
          <c:dPt>
            <c:idx val="28"/>
            <c:invertIfNegative val="0"/>
            <c:bubble3D val="0"/>
            <c:spPr>
              <a:solidFill>
                <a:srgbClr val="CC99FF"/>
              </a:solidFill>
              <a:ln>
                <a:noFill/>
              </a:ln>
              <a:effectLst/>
            </c:spPr>
            <c:extLst>
              <c:ext xmlns:c16="http://schemas.microsoft.com/office/drawing/2014/chart" uri="{C3380CC4-5D6E-409C-BE32-E72D297353CC}">
                <c16:uniqueId val="{0000009D-3296-460D-906F-260B97746E06}"/>
              </c:ext>
            </c:extLst>
          </c:dPt>
          <c:dPt>
            <c:idx val="29"/>
            <c:invertIfNegative val="0"/>
            <c:bubble3D val="0"/>
            <c:spPr>
              <a:solidFill>
                <a:srgbClr val="CC99FF"/>
              </a:solidFill>
              <a:ln>
                <a:noFill/>
              </a:ln>
              <a:effectLst/>
            </c:spPr>
            <c:extLst>
              <c:ext xmlns:c16="http://schemas.microsoft.com/office/drawing/2014/chart" uri="{C3380CC4-5D6E-409C-BE32-E72D297353CC}">
                <c16:uniqueId val="{0000009E-3296-460D-906F-260B97746E06}"/>
              </c:ext>
            </c:extLst>
          </c:dPt>
          <c:dPt>
            <c:idx val="30"/>
            <c:invertIfNegative val="0"/>
            <c:bubble3D val="0"/>
            <c:spPr>
              <a:solidFill>
                <a:srgbClr val="CC99FF"/>
              </a:solidFill>
              <a:ln>
                <a:noFill/>
              </a:ln>
              <a:effectLst/>
            </c:spPr>
            <c:extLst>
              <c:ext xmlns:c16="http://schemas.microsoft.com/office/drawing/2014/chart" uri="{C3380CC4-5D6E-409C-BE32-E72D297353CC}">
                <c16:uniqueId val="{0000009F-3296-460D-906F-260B97746E06}"/>
              </c:ext>
            </c:extLst>
          </c:dPt>
          <c:dPt>
            <c:idx val="31"/>
            <c:invertIfNegative val="0"/>
            <c:bubble3D val="0"/>
            <c:spPr>
              <a:solidFill>
                <a:srgbClr val="CC99FF"/>
              </a:solidFill>
              <a:ln>
                <a:noFill/>
              </a:ln>
              <a:effectLst/>
            </c:spPr>
            <c:extLst>
              <c:ext xmlns:c16="http://schemas.microsoft.com/office/drawing/2014/chart" uri="{C3380CC4-5D6E-409C-BE32-E72D297353CC}">
                <c16:uniqueId val="{000000A0-3296-460D-906F-260B97746E06}"/>
              </c:ext>
            </c:extLst>
          </c:dPt>
          <c:dPt>
            <c:idx val="32"/>
            <c:invertIfNegative val="0"/>
            <c:bubble3D val="0"/>
            <c:spPr>
              <a:solidFill>
                <a:srgbClr val="CC99FF"/>
              </a:solidFill>
              <a:ln>
                <a:noFill/>
              </a:ln>
              <a:effectLst/>
            </c:spPr>
            <c:extLst>
              <c:ext xmlns:c16="http://schemas.microsoft.com/office/drawing/2014/chart" uri="{C3380CC4-5D6E-409C-BE32-E72D297353CC}">
                <c16:uniqueId val="{000000A1-3296-460D-906F-260B97746E06}"/>
              </c:ext>
            </c:extLst>
          </c:dPt>
          <c:dPt>
            <c:idx val="33"/>
            <c:invertIfNegative val="0"/>
            <c:bubble3D val="0"/>
            <c:spPr>
              <a:solidFill>
                <a:srgbClr val="CC99FF"/>
              </a:solidFill>
              <a:ln>
                <a:noFill/>
              </a:ln>
              <a:effectLst/>
            </c:spPr>
            <c:extLst>
              <c:ext xmlns:c16="http://schemas.microsoft.com/office/drawing/2014/chart" uri="{C3380CC4-5D6E-409C-BE32-E72D297353CC}">
                <c16:uniqueId val="{000000A2-3296-460D-906F-260B97746E06}"/>
              </c:ext>
            </c:extLst>
          </c:dPt>
          <c:dPt>
            <c:idx val="34"/>
            <c:invertIfNegative val="0"/>
            <c:bubble3D val="0"/>
            <c:spPr>
              <a:solidFill>
                <a:srgbClr val="CC99FF"/>
              </a:solidFill>
              <a:ln>
                <a:noFill/>
              </a:ln>
              <a:effectLst/>
            </c:spPr>
            <c:extLst>
              <c:ext xmlns:c16="http://schemas.microsoft.com/office/drawing/2014/chart" uri="{C3380CC4-5D6E-409C-BE32-E72D297353CC}">
                <c16:uniqueId val="{000000A3-3296-460D-906F-260B97746E06}"/>
              </c:ext>
            </c:extLst>
          </c:dPt>
          <c:dPt>
            <c:idx val="35"/>
            <c:invertIfNegative val="0"/>
            <c:bubble3D val="0"/>
            <c:spPr>
              <a:solidFill>
                <a:srgbClr val="CC99FF"/>
              </a:solidFill>
              <a:ln>
                <a:noFill/>
              </a:ln>
              <a:effectLst/>
            </c:spPr>
            <c:extLst>
              <c:ext xmlns:c16="http://schemas.microsoft.com/office/drawing/2014/chart" uri="{C3380CC4-5D6E-409C-BE32-E72D297353CC}">
                <c16:uniqueId val="{000000A4-3296-460D-906F-260B97746E06}"/>
              </c:ext>
            </c:extLst>
          </c:dPt>
          <c:dPt>
            <c:idx val="36"/>
            <c:invertIfNegative val="0"/>
            <c:bubble3D val="0"/>
            <c:spPr>
              <a:solidFill>
                <a:srgbClr val="CC99FF"/>
              </a:solidFill>
              <a:ln>
                <a:noFill/>
              </a:ln>
              <a:effectLst/>
            </c:spPr>
            <c:extLst>
              <c:ext xmlns:c16="http://schemas.microsoft.com/office/drawing/2014/chart" uri="{C3380CC4-5D6E-409C-BE32-E72D297353CC}">
                <c16:uniqueId val="{000000A5-3296-460D-906F-260B97746E06}"/>
              </c:ext>
            </c:extLst>
          </c:dPt>
          <c:dPt>
            <c:idx val="37"/>
            <c:invertIfNegative val="0"/>
            <c:bubble3D val="0"/>
            <c:spPr>
              <a:solidFill>
                <a:srgbClr val="CC99FF"/>
              </a:solidFill>
              <a:ln>
                <a:noFill/>
              </a:ln>
              <a:effectLst/>
            </c:spPr>
            <c:extLst>
              <c:ext xmlns:c16="http://schemas.microsoft.com/office/drawing/2014/chart" uri="{C3380CC4-5D6E-409C-BE32-E72D297353CC}">
                <c16:uniqueId val="{000000A6-3296-460D-906F-260B97746E06}"/>
              </c:ext>
            </c:extLst>
          </c:dPt>
          <c:dPt>
            <c:idx val="38"/>
            <c:invertIfNegative val="0"/>
            <c:bubble3D val="0"/>
            <c:spPr>
              <a:solidFill>
                <a:srgbClr val="CC99FF"/>
              </a:solidFill>
              <a:ln>
                <a:noFill/>
              </a:ln>
              <a:effectLst/>
            </c:spPr>
            <c:extLst>
              <c:ext xmlns:c16="http://schemas.microsoft.com/office/drawing/2014/chart" uri="{C3380CC4-5D6E-409C-BE32-E72D297353CC}">
                <c16:uniqueId val="{000000A8-3296-460D-906F-260B97746E06}"/>
              </c:ext>
            </c:extLst>
          </c:dPt>
          <c:dPt>
            <c:idx val="39"/>
            <c:invertIfNegative val="0"/>
            <c:bubble3D val="0"/>
            <c:spPr>
              <a:solidFill>
                <a:srgbClr val="CC99FF"/>
              </a:solidFill>
              <a:ln>
                <a:noFill/>
              </a:ln>
              <a:effectLst/>
            </c:spPr>
            <c:extLst>
              <c:ext xmlns:c16="http://schemas.microsoft.com/office/drawing/2014/chart" uri="{C3380CC4-5D6E-409C-BE32-E72D297353CC}">
                <c16:uniqueId val="{000000A7-3296-460D-906F-260B97746E06}"/>
              </c:ext>
            </c:extLst>
          </c:dPt>
          <c:dPt>
            <c:idx val="40"/>
            <c:invertIfNegative val="0"/>
            <c:bubble3D val="0"/>
            <c:spPr>
              <a:solidFill>
                <a:srgbClr val="CC99FF"/>
              </a:solidFill>
              <a:ln>
                <a:noFill/>
              </a:ln>
              <a:effectLst/>
            </c:spPr>
            <c:extLst>
              <c:ext xmlns:c16="http://schemas.microsoft.com/office/drawing/2014/chart" uri="{C3380CC4-5D6E-409C-BE32-E72D297353CC}">
                <c16:uniqueId val="{000000A9-3296-460D-906F-260B97746E06}"/>
              </c:ext>
            </c:extLst>
          </c:dPt>
          <c:dPt>
            <c:idx val="4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AB-3296-460D-906F-260B97746E06}"/>
              </c:ext>
            </c:extLst>
          </c:dPt>
          <c:dPt>
            <c:idx val="4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AC-3296-460D-906F-260B97746E06}"/>
              </c:ext>
            </c:extLst>
          </c:dPt>
          <c:dPt>
            <c:idx val="4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AD-3296-460D-906F-260B97746E06}"/>
              </c:ext>
            </c:extLst>
          </c:dPt>
          <c:dPt>
            <c:idx val="45"/>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AE-3296-460D-906F-260B97746E06}"/>
              </c:ext>
            </c:extLst>
          </c:dPt>
          <c:dPt>
            <c:idx val="46"/>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AF-3296-460D-906F-260B97746E06}"/>
              </c:ext>
            </c:extLst>
          </c:dPt>
          <c:dPt>
            <c:idx val="4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0-3296-460D-906F-260B97746E06}"/>
              </c:ext>
            </c:extLst>
          </c:dPt>
          <c:dPt>
            <c:idx val="4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1-3296-460D-906F-260B97746E06}"/>
              </c:ext>
            </c:extLst>
          </c:dPt>
          <c:dPt>
            <c:idx val="49"/>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2-3296-460D-906F-260B97746E06}"/>
              </c:ext>
            </c:extLst>
          </c:dPt>
          <c:dPt>
            <c:idx val="5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3-3296-460D-906F-260B97746E06}"/>
              </c:ext>
            </c:extLst>
          </c:dPt>
          <c:dPt>
            <c:idx val="5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5-3296-460D-906F-260B97746E06}"/>
              </c:ext>
            </c:extLst>
          </c:dPt>
          <c:dPt>
            <c:idx val="5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4-3296-460D-906F-260B97746E06}"/>
              </c:ext>
            </c:extLst>
          </c:dPt>
          <c:dPt>
            <c:idx val="5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6-3296-460D-906F-260B97746E06}"/>
              </c:ext>
            </c:extLst>
          </c:dPt>
          <c:dPt>
            <c:idx val="5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B7-3296-460D-906F-260B97746E06}"/>
              </c:ext>
            </c:extLst>
          </c:dPt>
          <c:dPt>
            <c:idx val="56"/>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9-3296-460D-906F-260B97746E06}"/>
              </c:ext>
            </c:extLst>
          </c:dPt>
          <c:dPt>
            <c:idx val="57"/>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A-3296-460D-906F-260B97746E06}"/>
              </c:ext>
            </c:extLst>
          </c:dPt>
          <c:dPt>
            <c:idx val="58"/>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B-3296-460D-906F-260B97746E06}"/>
              </c:ext>
            </c:extLst>
          </c:dPt>
          <c:dPt>
            <c:idx val="59"/>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C-3296-460D-906F-260B97746E06}"/>
              </c:ext>
            </c:extLst>
          </c:dPt>
          <c:dPt>
            <c:idx val="60"/>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D-3296-460D-906F-260B97746E06}"/>
              </c:ext>
            </c:extLst>
          </c:dPt>
          <c:dPt>
            <c:idx val="6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E-3296-460D-906F-260B97746E06}"/>
              </c:ext>
            </c:extLst>
          </c:dPt>
          <c:dPt>
            <c:idx val="62"/>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BF-3296-460D-906F-260B97746E06}"/>
              </c:ext>
            </c:extLst>
          </c:dPt>
          <c:dPt>
            <c:idx val="6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C0-3296-460D-906F-260B97746E06}"/>
              </c:ext>
            </c:extLst>
          </c:dPt>
          <c:dPt>
            <c:idx val="64"/>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FB-91A4-4575-967A-4CDD94E3C0C3}"/>
              </c:ext>
            </c:extLst>
          </c:dPt>
          <c:dPt>
            <c:idx val="65"/>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FD-91A4-4575-967A-4CDD94E3C0C3}"/>
              </c:ext>
            </c:extLst>
          </c:dPt>
          <c:dPt>
            <c:idx val="66"/>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FF-91A4-4575-967A-4CDD94E3C0C3}"/>
              </c:ext>
            </c:extLst>
          </c:dPt>
          <c:dPt>
            <c:idx val="67"/>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01-91A4-4575-967A-4CDD94E3C0C3}"/>
              </c:ext>
            </c:extLst>
          </c:dPt>
          <c:dPt>
            <c:idx val="68"/>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01-7936-4109-ABF3-0CEE64F8C3C6}"/>
              </c:ext>
            </c:extLst>
          </c:dPt>
          <c:dLbls>
            <c:dLbl>
              <c:idx val="42"/>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AB-3296-460D-906F-260B97746E06}"/>
                </c:ext>
              </c:extLst>
            </c:dLbl>
            <c:dLbl>
              <c:idx val="4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AC-3296-460D-906F-260B97746E06}"/>
                </c:ext>
              </c:extLst>
            </c:dLbl>
            <c:dLbl>
              <c:idx val="4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AD-3296-460D-906F-260B97746E06}"/>
                </c:ext>
              </c:extLst>
            </c:dLbl>
            <c:dLbl>
              <c:idx val="45"/>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AE-3296-460D-906F-260B97746E06}"/>
                </c:ext>
              </c:extLst>
            </c:dLbl>
            <c:dLbl>
              <c:idx val="46"/>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AF-3296-460D-906F-260B97746E06}"/>
                </c:ext>
              </c:extLst>
            </c:dLbl>
            <c:dLbl>
              <c:idx val="47"/>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0-3296-460D-906F-260B97746E06}"/>
                </c:ext>
              </c:extLst>
            </c:dLbl>
            <c:dLbl>
              <c:idx val="4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1-3296-460D-906F-260B97746E06}"/>
                </c:ext>
              </c:extLst>
            </c:dLbl>
            <c:dLbl>
              <c:idx val="49"/>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2-3296-460D-906F-260B97746E06}"/>
                </c:ext>
              </c:extLst>
            </c:dLbl>
            <c:dLbl>
              <c:idx val="5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3-3296-460D-906F-260B97746E06}"/>
                </c:ext>
              </c:extLst>
            </c:dLbl>
            <c:dLbl>
              <c:idx val="5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5-3296-460D-906F-260B97746E06}"/>
                </c:ext>
              </c:extLst>
            </c:dLbl>
            <c:dLbl>
              <c:idx val="52"/>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4-3296-460D-906F-260B97746E06}"/>
                </c:ext>
              </c:extLst>
            </c:dLbl>
            <c:dLbl>
              <c:idx val="5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6-3296-460D-906F-260B97746E06}"/>
                </c:ext>
              </c:extLst>
            </c:dLbl>
            <c:dLbl>
              <c:idx val="5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B7-3296-460D-906F-260B97746E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filed'!$AE$103:$CU$103</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Patent applications filed'!$AE$105:$CU$105</c:f>
              <c:numCache>
                <c:formatCode>#,##0.0</c:formatCode>
                <c:ptCount val="69"/>
                <c:pt idx="0">
                  <c:v>76.552999999999997</c:v>
                </c:pt>
                <c:pt idx="1">
                  <c:v>70.906000000000006</c:v>
                </c:pt>
                <c:pt idx="2">
                  <c:v>75.528999999999996</c:v>
                </c:pt>
                <c:pt idx="3">
                  <c:v>74.448999999999998</c:v>
                </c:pt>
                <c:pt idx="4">
                  <c:v>76.801000000000002</c:v>
                </c:pt>
                <c:pt idx="5">
                  <c:v>83.924999999999997</c:v>
                </c:pt>
                <c:pt idx="6">
                  <c:v>83.301000000000002</c:v>
                </c:pt>
                <c:pt idx="7">
                  <c:v>88.100999999999999</c:v>
                </c:pt>
                <c:pt idx="8">
                  <c:v>92.887</c:v>
                </c:pt>
                <c:pt idx="9">
                  <c:v>98.977999999999994</c:v>
                </c:pt>
                <c:pt idx="10">
                  <c:v>98.885999999999996</c:v>
                </c:pt>
                <c:pt idx="11">
                  <c:v>104.91500000000001</c:v>
                </c:pt>
                <c:pt idx="12">
                  <c:v>109.505</c:v>
                </c:pt>
                <c:pt idx="14">
                  <c:v>54.517000000000003</c:v>
                </c:pt>
                <c:pt idx="15">
                  <c:v>55.03</c:v>
                </c:pt>
                <c:pt idx="16">
                  <c:v>55.783000000000001</c:v>
                </c:pt>
                <c:pt idx="17">
                  <c:v>56.704999999999998</c:v>
                </c:pt>
                <c:pt idx="18">
                  <c:v>60.03</c:v>
                </c:pt>
                <c:pt idx="19">
                  <c:v>59.881999999999998</c:v>
                </c:pt>
                <c:pt idx="20">
                  <c:v>58.137</c:v>
                </c:pt>
                <c:pt idx="21">
                  <c:v>58.189</c:v>
                </c:pt>
                <c:pt idx="22">
                  <c:v>59.936999999999998</c:v>
                </c:pt>
                <c:pt idx="23">
                  <c:v>62.597000000000001</c:v>
                </c:pt>
                <c:pt idx="24">
                  <c:v>61.124000000000002</c:v>
                </c:pt>
                <c:pt idx="25">
                  <c:v>66.748000000000005</c:v>
                </c:pt>
                <c:pt idx="26">
                  <c:v>70.716999999999999</c:v>
                </c:pt>
                <c:pt idx="28">
                  <c:v>38.295999999999999</c:v>
                </c:pt>
                <c:pt idx="29">
                  <c:v>40.89</c:v>
                </c:pt>
                <c:pt idx="30">
                  <c:v>40.779000000000003</c:v>
                </c:pt>
                <c:pt idx="31">
                  <c:v>44.610999999999997</c:v>
                </c:pt>
                <c:pt idx="32">
                  <c:v>46.219000000000001</c:v>
                </c:pt>
                <c:pt idx="33">
                  <c:v>46.420999999999999</c:v>
                </c:pt>
                <c:pt idx="34">
                  <c:v>45.406999999999996</c:v>
                </c:pt>
                <c:pt idx="35">
                  <c:v>45.744</c:v>
                </c:pt>
                <c:pt idx="36">
                  <c:v>47.415999999999997</c:v>
                </c:pt>
                <c:pt idx="37">
                  <c:v>47.372</c:v>
                </c:pt>
                <c:pt idx="38">
                  <c:v>46.281999999999996</c:v>
                </c:pt>
                <c:pt idx="39">
                  <c:v>51.753</c:v>
                </c:pt>
                <c:pt idx="40">
                  <c:v>53.884999999999998</c:v>
                </c:pt>
                <c:pt idx="42">
                  <c:v>98.111000000000004</c:v>
                </c:pt>
                <c:pt idx="43">
                  <c:v>110.583</c:v>
                </c:pt>
                <c:pt idx="44">
                  <c:v>117.462</c:v>
                </c:pt>
                <c:pt idx="45">
                  <c:v>120.2</c:v>
                </c:pt>
                <c:pt idx="46">
                  <c:v>127.042</c:v>
                </c:pt>
                <c:pt idx="47">
                  <c:v>133.613</c:v>
                </c:pt>
                <c:pt idx="48">
                  <c:v>133.52199999999999</c:v>
                </c:pt>
                <c:pt idx="49">
                  <c:v>135.88499999999999</c:v>
                </c:pt>
                <c:pt idx="50">
                  <c:v>148.18700000000001</c:v>
                </c:pt>
                <c:pt idx="51">
                  <c:v>157.09299999999999</c:v>
                </c:pt>
                <c:pt idx="52">
                  <c:v>152.34200000000001</c:v>
                </c:pt>
                <c:pt idx="53">
                  <c:v>157.81800000000001</c:v>
                </c:pt>
                <c:pt idx="54">
                  <c:v>154.66300000000001</c:v>
                </c:pt>
                <c:pt idx="56">
                  <c:v>248.249</c:v>
                </c:pt>
                <c:pt idx="57">
                  <c:v>255.83199999999999</c:v>
                </c:pt>
                <c:pt idx="58">
                  <c:v>274.03300000000002</c:v>
                </c:pt>
                <c:pt idx="59">
                  <c:v>278.024</c:v>
                </c:pt>
                <c:pt idx="60">
                  <c:v>293.70600000000002</c:v>
                </c:pt>
                <c:pt idx="61">
                  <c:v>301.07499999999999</c:v>
                </c:pt>
                <c:pt idx="62">
                  <c:v>310.24400000000003</c:v>
                </c:pt>
                <c:pt idx="63">
                  <c:v>313.05200000000002</c:v>
                </c:pt>
                <c:pt idx="64">
                  <c:v>312.04599999999999</c:v>
                </c:pt>
                <c:pt idx="65">
                  <c:v>328.45499999999998</c:v>
                </c:pt>
                <c:pt idx="66">
                  <c:v>319.87799999999999</c:v>
                </c:pt>
                <c:pt idx="67">
                  <c:v>309.47699999999998</c:v>
                </c:pt>
                <c:pt idx="68">
                  <c:v>320.755</c:v>
                </c:pt>
              </c:numCache>
            </c:numRef>
          </c:val>
          <c:extLst>
            <c:ext xmlns:c16="http://schemas.microsoft.com/office/drawing/2014/chart" uri="{C3380CC4-5D6E-409C-BE32-E72D297353CC}">
              <c16:uniqueId val="{00000001-3296-460D-906F-260B97746E06}"/>
            </c:ext>
          </c:extLst>
        </c:ser>
        <c:ser>
          <c:idx val="2"/>
          <c:order val="2"/>
          <c:spPr>
            <a:no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filed'!$AE$103:$CU$103</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Patent applications filed'!$AE$106:$CU$106</c:f>
              <c:numCache>
                <c:formatCode>#,##0.0</c:formatCode>
                <c:ptCount val="69"/>
                <c:pt idx="0">
                  <c:v>150.96100000000001</c:v>
                </c:pt>
                <c:pt idx="1">
                  <c:v>142.81</c:v>
                </c:pt>
                <c:pt idx="2">
                  <c:v>148.494</c:v>
                </c:pt>
                <c:pt idx="3">
                  <c:v>147.869</c:v>
                </c:pt>
                <c:pt idx="4">
                  <c:v>151.98099999999999</c:v>
                </c:pt>
                <c:pt idx="5">
                  <c:v>160.02199999999999</c:v>
                </c:pt>
                <c:pt idx="6">
                  <c:v>159.35300000000001</c:v>
                </c:pt>
                <c:pt idx="7">
                  <c:v>166.59399999999999</c:v>
                </c:pt>
                <c:pt idx="8">
                  <c:v>174.48099999999999</c:v>
                </c:pt>
                <c:pt idx="9">
                  <c:v>181.53200000000001</c:v>
                </c:pt>
                <c:pt idx="10">
                  <c:v>180.417</c:v>
                </c:pt>
                <c:pt idx="11">
                  <c:v>188.809</c:v>
                </c:pt>
                <c:pt idx="12">
                  <c:v>193.46</c:v>
                </c:pt>
                <c:pt idx="14">
                  <c:v>344.59800000000001</c:v>
                </c:pt>
                <c:pt idx="15">
                  <c:v>342.61</c:v>
                </c:pt>
                <c:pt idx="16">
                  <c:v>342.79599999999999</c:v>
                </c:pt>
                <c:pt idx="17">
                  <c:v>328.43599999999998</c:v>
                </c:pt>
                <c:pt idx="18">
                  <c:v>325.98899999999998</c:v>
                </c:pt>
                <c:pt idx="19">
                  <c:v>318.721</c:v>
                </c:pt>
                <c:pt idx="20">
                  <c:v>318.38099999999997</c:v>
                </c:pt>
                <c:pt idx="21">
                  <c:v>318.47899999999998</c:v>
                </c:pt>
                <c:pt idx="22">
                  <c:v>313.56700000000001</c:v>
                </c:pt>
                <c:pt idx="23">
                  <c:v>307.96899999999999</c:v>
                </c:pt>
                <c:pt idx="24">
                  <c:v>288.47199999999998</c:v>
                </c:pt>
                <c:pt idx="25">
                  <c:v>289.2</c:v>
                </c:pt>
                <c:pt idx="26">
                  <c:v>289.52999999999997</c:v>
                </c:pt>
                <c:pt idx="28">
                  <c:v>170.101</c:v>
                </c:pt>
                <c:pt idx="29">
                  <c:v>178.92400000000001</c:v>
                </c:pt>
                <c:pt idx="30">
                  <c:v>188.91499999999999</c:v>
                </c:pt>
                <c:pt idx="31">
                  <c:v>204.589</c:v>
                </c:pt>
                <c:pt idx="32">
                  <c:v>210.292</c:v>
                </c:pt>
                <c:pt idx="33">
                  <c:v>213.69399999999999</c:v>
                </c:pt>
                <c:pt idx="34">
                  <c:v>208.83</c:v>
                </c:pt>
                <c:pt idx="35">
                  <c:v>204.77500000000001</c:v>
                </c:pt>
                <c:pt idx="36">
                  <c:v>209.99199999999999</c:v>
                </c:pt>
                <c:pt idx="37">
                  <c:v>218.97499999999999</c:v>
                </c:pt>
                <c:pt idx="38">
                  <c:v>226.75899999999999</c:v>
                </c:pt>
                <c:pt idx="39">
                  <c:v>237.99799999999999</c:v>
                </c:pt>
                <c:pt idx="40">
                  <c:v>237.63300000000001</c:v>
                </c:pt>
                <c:pt idx="42">
                  <c:v>391.17700000000002</c:v>
                </c:pt>
                <c:pt idx="43">
                  <c:v>526.41200000000003</c:v>
                </c:pt>
                <c:pt idx="44">
                  <c:v>652.77700000000004</c:v>
                </c:pt>
                <c:pt idx="45">
                  <c:v>825.13599999999997</c:v>
                </c:pt>
                <c:pt idx="46">
                  <c:v>928.17700000000002</c:v>
                </c:pt>
                <c:pt idx="47">
                  <c:v>1101.864</c:v>
                </c:pt>
                <c:pt idx="48">
                  <c:v>1338.5029999999999</c:v>
                </c:pt>
                <c:pt idx="49">
                  <c:v>1381.5940000000001</c:v>
                </c:pt>
                <c:pt idx="50">
                  <c:v>1542.002</c:v>
                </c:pt>
                <c:pt idx="51">
                  <c:v>1400.6610000000001</c:v>
                </c:pt>
                <c:pt idx="52">
                  <c:v>1497.1590000000001</c:v>
                </c:pt>
                <c:pt idx="53">
                  <c:v>1585.663</c:v>
                </c:pt>
                <c:pt idx="54">
                  <c:v>1619.268</c:v>
                </c:pt>
                <c:pt idx="56">
                  <c:v>490.226</c:v>
                </c:pt>
                <c:pt idx="57">
                  <c:v>503.58199999999999</c:v>
                </c:pt>
                <c:pt idx="58">
                  <c:v>542.81500000000005</c:v>
                </c:pt>
                <c:pt idx="59">
                  <c:v>571.61199999999997</c:v>
                </c:pt>
                <c:pt idx="60">
                  <c:v>578.80200000000002</c:v>
                </c:pt>
                <c:pt idx="61">
                  <c:v>589.41</c:v>
                </c:pt>
                <c:pt idx="62">
                  <c:v>605.57100000000003</c:v>
                </c:pt>
                <c:pt idx="63">
                  <c:v>606.95600000000002</c:v>
                </c:pt>
                <c:pt idx="64">
                  <c:v>597.14099999999996</c:v>
                </c:pt>
                <c:pt idx="65">
                  <c:v>621.45299999999997</c:v>
                </c:pt>
                <c:pt idx="66">
                  <c:v>597.17499999999995</c:v>
                </c:pt>
                <c:pt idx="67">
                  <c:v>591.47299999999996</c:v>
                </c:pt>
                <c:pt idx="68">
                  <c:v>594.34</c:v>
                </c:pt>
              </c:numCache>
            </c:numRef>
          </c:val>
          <c:extLst>
            <c:ext xmlns:c16="http://schemas.microsoft.com/office/drawing/2014/chart" uri="{C3380CC4-5D6E-409C-BE32-E72D297353CC}">
              <c16:uniqueId val="{00000002-3296-460D-906F-260B97746E06}"/>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1700"/>
          <c:min val="0"/>
        </c:scaling>
        <c:delete val="1"/>
        <c:axPos val="l"/>
        <c:numFmt formatCode="#,##0.0" sourceLinked="1"/>
        <c:majorTickMark val="out"/>
        <c:minorTickMark val="none"/>
        <c:tickLblPos val="nextTo"/>
        <c:crossAx val="621250136"/>
        <c:crosses val="autoZero"/>
        <c:crossBetween val="between"/>
      </c:valAx>
      <c:spPr>
        <a:noFill/>
        <a:ln>
          <a:noFill/>
        </a:ln>
        <a:effectLst/>
      </c:spPr>
    </c:plotArea>
    <c:legend>
      <c:legendPos val="b"/>
      <c:legendEntry>
        <c:idx val="2"/>
        <c:delete val="1"/>
      </c:legendEntry>
      <c:layout>
        <c:manualLayout>
          <c:xMode val="edge"/>
          <c:yMode val="edge"/>
          <c:x val="4.6120919083752793E-2"/>
          <c:y val="0.18938353758411777"/>
          <c:w val="6.2774337064369204E-2"/>
          <c:h val="9.527804024496937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4.2: APPLICATIONS FILED - </a:t>
            </a:r>
            <a:r>
              <a:rPr lang="en-GB" b="1" baseline="0"/>
              <a:t>ORIGIN DISTRIBUTION</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5769805680119583E-3"/>
          <c:y val="8.2422222222222216E-2"/>
          <c:w val="0.98684603886397604"/>
          <c:h val="0.81373423322084737"/>
        </c:manualLayout>
      </c:layout>
      <c:barChart>
        <c:barDir val="col"/>
        <c:grouping val="stacked"/>
        <c:varyColors val="0"/>
        <c:ser>
          <c:idx val="0"/>
          <c:order val="0"/>
          <c:tx>
            <c:strRef>
              <c:f>'Ch4. Patent applications filed'!$B$63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filed'!$AE$110:$CU$110</c:f>
              <c:numCache>
                <c:formatCode>0%</c:formatCode>
                <c:ptCount val="69"/>
                <c:pt idx="0">
                  <c:v>0.49289551606043946</c:v>
                </c:pt>
                <c:pt idx="1">
                  <c:v>0.50349415307051326</c:v>
                </c:pt>
                <c:pt idx="2">
                  <c:v>0.49136665454496475</c:v>
                </c:pt>
                <c:pt idx="3">
                  <c:v>0.49652056888191576</c:v>
                </c:pt>
                <c:pt idx="4">
                  <c:v>0.49466709654496288</c:v>
                </c:pt>
                <c:pt idx="5">
                  <c:v>0.47554086313131944</c:v>
                </c:pt>
                <c:pt idx="6">
                  <c:v>0.4772548994998525</c:v>
                </c:pt>
                <c:pt idx="7">
                  <c:v>0.47116342725428284</c:v>
                </c:pt>
                <c:pt idx="8">
                  <c:v>0.46763831018850188</c:v>
                </c:pt>
                <c:pt idx="9">
                  <c:v>0.45476279664191438</c:v>
                </c:pt>
                <c:pt idx="10">
                  <c:v>0.45190309117211791</c:v>
                </c:pt>
                <c:pt idx="11">
                  <c:v>0.44419406150583246</c:v>
                </c:pt>
                <c:pt idx="12">
                  <c:v>0.43396567765946448</c:v>
                </c:pt>
                <c:pt idx="14">
                  <c:v>6.1297511883411974E-2</c:v>
                </c:pt>
                <c:pt idx="15">
                  <c:v>6.1361314614284464E-2</c:v>
                </c:pt>
                <c:pt idx="16">
                  <c:v>6.0966288988202895E-2</c:v>
                </c:pt>
                <c:pt idx="17">
                  <c:v>6.2733683274671478E-2</c:v>
                </c:pt>
                <c:pt idx="18">
                  <c:v>6.4879489798735535E-2</c:v>
                </c:pt>
                <c:pt idx="19">
                  <c:v>6.5210638771841203E-2</c:v>
                </c:pt>
                <c:pt idx="20">
                  <c:v>6.4601844959341168E-2</c:v>
                </c:pt>
                <c:pt idx="21">
                  <c:v>6.4553706837813488E-2</c:v>
                </c:pt>
                <c:pt idx="22">
                  <c:v>6.6601396192839168E-2</c:v>
                </c:pt>
                <c:pt idx="23">
                  <c:v>6.6220950809984122E-2</c:v>
                </c:pt>
                <c:pt idx="24">
                  <c:v>6.680717712637621E-2</c:v>
                </c:pt>
                <c:pt idx="25">
                  <c:v>7.2251037344398333E-2</c:v>
                </c:pt>
                <c:pt idx="26">
                  <c:v>7.4572583152004976E-2</c:v>
                </c:pt>
                <c:pt idx="28">
                  <c:v>5.7906773034844004E-2</c:v>
                </c:pt>
                <c:pt idx="29">
                  <c:v>5.9064183675750601E-2</c:v>
                </c:pt>
                <c:pt idx="30">
                  <c:v>5.3960776010375036E-2</c:v>
                </c:pt>
                <c:pt idx="31">
                  <c:v>5.7363787886934289E-2</c:v>
                </c:pt>
                <c:pt idx="32">
                  <c:v>5.8485344188081337E-2</c:v>
                </c:pt>
                <c:pt idx="33">
                  <c:v>5.6267372972568251E-2</c:v>
                </c:pt>
                <c:pt idx="34">
                  <c:v>5.6706411913997029E-2</c:v>
                </c:pt>
                <c:pt idx="35">
                  <c:v>5.7121230618972042E-2</c:v>
                </c:pt>
                <c:pt idx="36">
                  <c:v>6.0492780677359137E-2</c:v>
                </c:pt>
                <c:pt idx="37">
                  <c:v>5.590592533394223E-2</c:v>
                </c:pt>
                <c:pt idx="38">
                  <c:v>5.0494136947155349E-2</c:v>
                </c:pt>
                <c:pt idx="39">
                  <c:v>5.2323969108984111E-2</c:v>
                </c:pt>
                <c:pt idx="40">
                  <c:v>5.4428467426662124E-2</c:v>
                </c:pt>
                <c:pt idx="42">
                  <c:v>7.0901407802605981E-2</c:v>
                </c:pt>
                <c:pt idx="43">
                  <c:v>5.7367613200306984E-2</c:v>
                </c:pt>
                <c:pt idx="44">
                  <c:v>4.8684313325990346E-2</c:v>
                </c:pt>
                <c:pt idx="45">
                  <c:v>4.0341228597467568E-2</c:v>
                </c:pt>
                <c:pt idx="46">
                  <c:v>3.7651223850623319E-2</c:v>
                </c:pt>
                <c:pt idx="47">
                  <c:v>3.2095612525683749E-2</c:v>
                </c:pt>
                <c:pt idx="48">
                  <c:v>2.7244615813337737E-2</c:v>
                </c:pt>
                <c:pt idx="49">
                  <c:v>2.6648928701195864E-2</c:v>
                </c:pt>
                <c:pt idx="50">
                  <c:v>2.581708713737077E-2</c:v>
                </c:pt>
                <c:pt idx="51">
                  <c:v>2.9811638933332191E-2</c:v>
                </c:pt>
                <c:pt idx="52">
                  <c:v>2.706526160548078E-2</c:v>
                </c:pt>
                <c:pt idx="53">
                  <c:v>2.6832939912200763E-2</c:v>
                </c:pt>
                <c:pt idx="54">
                  <c:v>2.5465827769090725E-2</c:v>
                </c:pt>
                <c:pt idx="56">
                  <c:v>0.16079114530849037</c:v>
                </c:pt>
                <c:pt idx="57">
                  <c:v>0.15948544626297206</c:v>
                </c:pt>
                <c:pt idx="58">
                  <c:v>0.15695034219761797</c:v>
                </c:pt>
                <c:pt idx="59">
                  <c:v>0.15275046710006088</c:v>
                </c:pt>
                <c:pt idx="60">
                  <c:v>0.15839440775947561</c:v>
                </c:pt>
                <c:pt idx="61">
                  <c:v>0.15812931575643441</c:v>
                </c:pt>
                <c:pt idx="62">
                  <c:v>0.16062360978316334</c:v>
                </c:pt>
                <c:pt idx="63">
                  <c:v>0.1598056531280686</c:v>
                </c:pt>
                <c:pt idx="64">
                  <c:v>0.16026198167601957</c:v>
                </c:pt>
                <c:pt idx="65">
                  <c:v>0.1556931899918417</c:v>
                </c:pt>
                <c:pt idx="66">
                  <c:v>0.1553079080671495</c:v>
                </c:pt>
                <c:pt idx="67">
                  <c:v>0.14932887891754992</c:v>
                </c:pt>
                <c:pt idx="68">
                  <c:v>0.15100111047548542</c:v>
                </c:pt>
              </c:numCache>
            </c:numRef>
          </c:val>
          <c:extLst>
            <c:ext xmlns:c16="http://schemas.microsoft.com/office/drawing/2014/chart" uri="{C3380CC4-5D6E-409C-BE32-E72D297353CC}">
              <c16:uniqueId val="{00000000-6E2C-43B9-AF42-6ED297197694}"/>
            </c:ext>
          </c:extLst>
        </c:ser>
        <c:ser>
          <c:idx val="1"/>
          <c:order val="1"/>
          <c:tx>
            <c:strRef>
              <c:f>'Ch4. Patent applications filed'!$B$64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filed'!$AE$111:$CU$111</c:f>
              <c:numCache>
                <c:formatCode>0%</c:formatCode>
                <c:ptCount val="69"/>
                <c:pt idx="0">
                  <c:v>0.14456713985731415</c:v>
                </c:pt>
                <c:pt idx="1">
                  <c:v>0.14402352776416216</c:v>
                </c:pt>
                <c:pt idx="2">
                  <c:v>0.1528681293520277</c:v>
                </c:pt>
                <c:pt idx="3">
                  <c:v>0.15253366155177894</c:v>
                </c:pt>
                <c:pt idx="4">
                  <c:v>0.14487337232943592</c:v>
                </c:pt>
                <c:pt idx="5">
                  <c:v>0.13389408956268514</c:v>
                </c:pt>
                <c:pt idx="6">
                  <c:v>0.13183310009852339</c:v>
                </c:pt>
                <c:pt idx="7">
                  <c:v>0.13070098562973456</c:v>
                </c:pt>
                <c:pt idx="8">
                  <c:v>0.12947541566130411</c:v>
                </c:pt>
                <c:pt idx="9">
                  <c:v>0.12166449992287862</c:v>
                </c:pt>
                <c:pt idx="10">
                  <c:v>0.12168476363092169</c:v>
                </c:pt>
                <c:pt idx="11">
                  <c:v>0.1149575821845175</c:v>
                </c:pt>
                <c:pt idx="12">
                  <c:v>0.11152693063165513</c:v>
                </c:pt>
                <c:pt idx="14">
                  <c:v>0.84179536735558536</c:v>
                </c:pt>
                <c:pt idx="15">
                  <c:v>0.83938005312162522</c:v>
                </c:pt>
                <c:pt idx="16">
                  <c:v>0.83727056325044635</c:v>
                </c:pt>
                <c:pt idx="17">
                  <c:v>0.82734840273295251</c:v>
                </c:pt>
                <c:pt idx="18">
                  <c:v>0.8158526821457166</c:v>
                </c:pt>
                <c:pt idx="19">
                  <c:v>0.81211780836531011</c:v>
                </c:pt>
                <c:pt idx="20">
                  <c:v>0.81739802312323917</c:v>
                </c:pt>
                <c:pt idx="21">
                  <c:v>0.81729093598008029</c:v>
                </c:pt>
                <c:pt idx="22">
                  <c:v>0.80885424805543948</c:v>
                </c:pt>
                <c:pt idx="23">
                  <c:v>0.79674252928054445</c:v>
                </c:pt>
                <c:pt idx="24">
                  <c:v>0.78811115116891761</c:v>
                </c:pt>
                <c:pt idx="25">
                  <c:v>0.76919778699861685</c:v>
                </c:pt>
                <c:pt idx="26">
                  <c:v>0.75575242634614725</c:v>
                </c:pt>
                <c:pt idx="28">
                  <c:v>8.4338128523641837E-2</c:v>
                </c:pt>
                <c:pt idx="29">
                  <c:v>8.5142295052648045E-2</c:v>
                </c:pt>
                <c:pt idx="30">
                  <c:v>8.4715348172458516E-2</c:v>
                </c:pt>
                <c:pt idx="31">
                  <c:v>7.9667039772421788E-2</c:v>
                </c:pt>
                <c:pt idx="32">
                  <c:v>7.4434595705019688E-2</c:v>
                </c:pt>
                <c:pt idx="33">
                  <c:v>7.1518152124065246E-2</c:v>
                </c:pt>
                <c:pt idx="34">
                  <c:v>7.0741751664032945E-2</c:v>
                </c:pt>
                <c:pt idx="35">
                  <c:v>7.3465999267488702E-2</c:v>
                </c:pt>
                <c:pt idx="36">
                  <c:v>7.4298068497847536E-2</c:v>
                </c:pt>
                <c:pt idx="37">
                  <c:v>6.8455303116794153E-2</c:v>
                </c:pt>
                <c:pt idx="38">
                  <c:v>6.1854215268192222E-2</c:v>
                </c:pt>
                <c:pt idx="39">
                  <c:v>5.9517306868124939E-2</c:v>
                </c:pt>
                <c:pt idx="40">
                  <c:v>5.8329440776323155E-2</c:v>
                </c:pt>
                <c:pt idx="42">
                  <c:v>8.6615521873729798E-2</c:v>
                </c:pt>
                <c:pt idx="43">
                  <c:v>7.4525276779404723E-2</c:v>
                </c:pt>
                <c:pt idx="44">
                  <c:v>6.4766375040787277E-2</c:v>
                </c:pt>
                <c:pt idx="45">
                  <c:v>4.9922679412848309E-2</c:v>
                </c:pt>
                <c:pt idx="46">
                  <c:v>4.3590823732973343E-2</c:v>
                </c:pt>
                <c:pt idx="47">
                  <c:v>3.6372909905396676E-2</c:v>
                </c:pt>
                <c:pt idx="48">
                  <c:v>2.9291678838224495E-2</c:v>
                </c:pt>
                <c:pt idx="49">
                  <c:v>2.9609277399872902E-2</c:v>
                </c:pt>
                <c:pt idx="50">
                  <c:v>2.9367017682207935E-2</c:v>
                </c:pt>
                <c:pt idx="51">
                  <c:v>3.4888527630882848E-2</c:v>
                </c:pt>
                <c:pt idx="52">
                  <c:v>3.19685484307278E-2</c:v>
                </c:pt>
                <c:pt idx="53">
                  <c:v>2.9646904796290258E-2</c:v>
                </c:pt>
                <c:pt idx="54">
                  <c:v>2.7950283708441097E-2</c:v>
                </c:pt>
                <c:pt idx="56">
                  <c:v>0.17138421870729012</c:v>
                </c:pt>
                <c:pt idx="57">
                  <c:v>0.16915616523227597</c:v>
                </c:pt>
                <c:pt idx="58">
                  <c:v>0.1633816309424021</c:v>
                </c:pt>
                <c:pt idx="59">
                  <c:v>0.14770333722874956</c:v>
                </c:pt>
                <c:pt idx="60">
                  <c:v>0.14977660754454891</c:v>
                </c:pt>
                <c:pt idx="61">
                  <c:v>0.14651770414482279</c:v>
                </c:pt>
                <c:pt idx="62">
                  <c:v>0.14204940461151541</c:v>
                </c:pt>
                <c:pt idx="63">
                  <c:v>0.14187684115487778</c:v>
                </c:pt>
                <c:pt idx="64">
                  <c:v>0.14288417643404155</c:v>
                </c:pt>
                <c:pt idx="65">
                  <c:v>0.1388278759616576</c:v>
                </c:pt>
                <c:pt idx="66">
                  <c:v>0.13401264286013312</c:v>
                </c:pt>
                <c:pt idx="67">
                  <c:v>0.12830509592153827</c:v>
                </c:pt>
                <c:pt idx="68">
                  <c:v>0.12786956960662246</c:v>
                </c:pt>
              </c:numCache>
            </c:numRef>
          </c:val>
          <c:extLst>
            <c:ext xmlns:c16="http://schemas.microsoft.com/office/drawing/2014/chart" uri="{C3380CC4-5D6E-409C-BE32-E72D297353CC}">
              <c16:uniqueId val="{00000001-6E2C-43B9-AF42-6ED297197694}"/>
            </c:ext>
          </c:extLst>
        </c:ser>
        <c:ser>
          <c:idx val="2"/>
          <c:order val="2"/>
          <c:tx>
            <c:strRef>
              <c:f>'Ch4. Patent applications filed'!$B$65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filed'!$AE$112:$CU$112</c:f>
              <c:numCache>
                <c:formatCode>0%</c:formatCode>
                <c:ptCount val="69"/>
                <c:pt idx="0">
                  <c:v>3.1233232424268519E-2</c:v>
                </c:pt>
                <c:pt idx="1">
                  <c:v>3.4234297318114976E-2</c:v>
                </c:pt>
                <c:pt idx="2">
                  <c:v>3.8459466375745821E-2</c:v>
                </c:pt>
                <c:pt idx="3">
                  <c:v>4.284873773407543E-2</c:v>
                </c:pt>
                <c:pt idx="4">
                  <c:v>4.0406366585296845E-2</c:v>
                </c:pt>
                <c:pt idx="5">
                  <c:v>4.0063241304320658E-2</c:v>
                </c:pt>
                <c:pt idx="6">
                  <c:v>4.282316617823323E-2</c:v>
                </c:pt>
                <c:pt idx="7">
                  <c:v>3.8758898879911644E-2</c:v>
                </c:pt>
                <c:pt idx="8">
                  <c:v>4.162630888176936E-2</c:v>
                </c:pt>
                <c:pt idx="9">
                  <c:v>4.5936804530330742E-2</c:v>
                </c:pt>
                <c:pt idx="10">
                  <c:v>5.0350022447995475E-2</c:v>
                </c:pt>
                <c:pt idx="11">
                  <c:v>4.9809119830328735E-2</c:v>
                </c:pt>
                <c:pt idx="12">
                  <c:v>5.3587304869223612E-2</c:v>
                </c:pt>
                <c:pt idx="14">
                  <c:v>1.4138213222363449E-2</c:v>
                </c:pt>
                <c:pt idx="15">
                  <c:v>1.4614284463384022E-2</c:v>
                </c:pt>
                <c:pt idx="16">
                  <c:v>1.6651302815668793E-2</c:v>
                </c:pt>
                <c:pt idx="17">
                  <c:v>1.867639357439501E-2</c:v>
                </c:pt>
                <c:pt idx="18">
                  <c:v>1.7430035982809237E-2</c:v>
                </c:pt>
                <c:pt idx="19">
                  <c:v>1.6384235742232234E-2</c:v>
                </c:pt>
                <c:pt idx="20">
                  <c:v>1.6382887169774579E-2</c:v>
                </c:pt>
                <c:pt idx="21">
                  <c:v>1.3099764819658438E-2</c:v>
                </c:pt>
                <c:pt idx="22">
                  <c:v>1.6168793272251226E-2</c:v>
                </c:pt>
                <c:pt idx="23">
                  <c:v>1.8294049076368075E-2</c:v>
                </c:pt>
                <c:pt idx="24">
                  <c:v>2.0386727308022962E-2</c:v>
                </c:pt>
                <c:pt idx="25">
                  <c:v>2.0525587828492394E-2</c:v>
                </c:pt>
                <c:pt idx="26">
                  <c:v>2.4691741788415707E-2</c:v>
                </c:pt>
                <c:pt idx="28">
                  <c:v>0.77486316952869183</c:v>
                </c:pt>
                <c:pt idx="29">
                  <c:v>0.77146721513044647</c:v>
                </c:pt>
                <c:pt idx="30">
                  <c:v>0.7841410158007569</c:v>
                </c:pt>
                <c:pt idx="31">
                  <c:v>0.78194819858350151</c:v>
                </c:pt>
                <c:pt idx="32">
                  <c:v>0.78021512943906568</c:v>
                </c:pt>
                <c:pt idx="33">
                  <c:v>0.7827688189654366</c:v>
                </c:pt>
                <c:pt idx="34">
                  <c:v>0.78256476559881238</c:v>
                </c:pt>
                <c:pt idx="35">
                  <c:v>0.77661335612257354</c:v>
                </c:pt>
                <c:pt idx="36">
                  <c:v>0.77420092193988344</c:v>
                </c:pt>
                <c:pt idx="37">
                  <c:v>0.78366480191802712</c:v>
                </c:pt>
                <c:pt idx="38">
                  <c:v>0.79589784749447656</c:v>
                </c:pt>
                <c:pt idx="39">
                  <c:v>0.78254859284531808</c:v>
                </c:pt>
                <c:pt idx="40">
                  <c:v>0.77324277352051274</c:v>
                </c:pt>
                <c:pt idx="42">
                  <c:v>1.8349749601842644E-2</c:v>
                </c:pt>
                <c:pt idx="43">
                  <c:v>1.5442277151736662E-2</c:v>
                </c:pt>
                <c:pt idx="44">
                  <c:v>1.376427171913226E-2</c:v>
                </c:pt>
                <c:pt idx="45">
                  <c:v>1.3168738244362141E-2</c:v>
                </c:pt>
                <c:pt idx="46">
                  <c:v>1.242004488368059E-2</c:v>
                </c:pt>
                <c:pt idx="47">
                  <c:v>1.1713786819425991E-2</c:v>
                </c:pt>
                <c:pt idx="48">
                  <c:v>1.0283129735234063E-2</c:v>
                </c:pt>
                <c:pt idx="49">
                  <c:v>9.5397055864458007E-3</c:v>
                </c:pt>
                <c:pt idx="50">
                  <c:v>8.998042804094936E-3</c:v>
                </c:pt>
                <c:pt idx="51">
                  <c:v>1.1436743080588379E-2</c:v>
                </c:pt>
                <c:pt idx="52">
                  <c:v>1.1171158173580761E-2</c:v>
                </c:pt>
                <c:pt idx="53">
                  <c:v>1.1156847325062134E-2</c:v>
                </c:pt>
                <c:pt idx="54">
                  <c:v>1.1277935462196499E-2</c:v>
                </c:pt>
                <c:pt idx="56">
                  <c:v>5.3118357655448714E-2</c:v>
                </c:pt>
                <c:pt idx="57">
                  <c:v>5.4189784384668239E-2</c:v>
                </c:pt>
                <c:pt idx="58">
                  <c:v>5.4311321536803514E-2</c:v>
                </c:pt>
                <c:pt idx="59">
                  <c:v>5.7799696297488504E-2</c:v>
                </c:pt>
                <c:pt idx="60">
                  <c:v>6.3482849057190538E-2</c:v>
                </c:pt>
                <c:pt idx="61">
                  <c:v>6.4819056344480069E-2</c:v>
                </c:pt>
                <c:pt idx="62">
                  <c:v>6.1662464021559817E-2</c:v>
                </c:pt>
                <c:pt idx="63">
                  <c:v>5.8595680741272846E-2</c:v>
                </c:pt>
                <c:pt idx="64">
                  <c:v>5.6872664914986576E-2</c:v>
                </c:pt>
                <c:pt idx="65">
                  <c:v>5.9888680238087195E-2</c:v>
                </c:pt>
                <c:pt idx="66">
                  <c:v>6.4158747435843766E-2</c:v>
                </c:pt>
                <c:pt idx="67">
                  <c:v>6.2711231112831861E-2</c:v>
                </c:pt>
                <c:pt idx="68">
                  <c:v>7.0358717232560486E-2</c:v>
                </c:pt>
              </c:numCache>
            </c:numRef>
          </c:val>
          <c:extLst>
            <c:ext xmlns:c16="http://schemas.microsoft.com/office/drawing/2014/chart" uri="{C3380CC4-5D6E-409C-BE32-E72D297353CC}">
              <c16:uniqueId val="{00000002-6E2C-43B9-AF42-6ED297197694}"/>
            </c:ext>
          </c:extLst>
        </c:ser>
        <c:ser>
          <c:idx val="3"/>
          <c:order val="3"/>
          <c:tx>
            <c:strRef>
              <c:f>'Ch4. Patent applications filed'!$B$66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filed'!$AE$113:$CU$113</c:f>
              <c:numCache>
                <c:formatCode>0%</c:formatCode>
                <c:ptCount val="69"/>
                <c:pt idx="0">
                  <c:v>1.3573042043971622E-2</c:v>
                </c:pt>
                <c:pt idx="1">
                  <c:v>1.7841887822981583E-2</c:v>
                </c:pt>
                <c:pt idx="2">
                  <c:v>2.5125594300106403E-2</c:v>
                </c:pt>
                <c:pt idx="3">
                  <c:v>2.7429684382798289E-2</c:v>
                </c:pt>
                <c:pt idx="4">
                  <c:v>3.0424855738546266E-2</c:v>
                </c:pt>
                <c:pt idx="5">
                  <c:v>3.5751334191548662E-2</c:v>
                </c:pt>
                <c:pt idx="6">
                  <c:v>4.4868938771155858E-2</c:v>
                </c:pt>
                <c:pt idx="7">
                  <c:v>5.1868614716016184E-2</c:v>
                </c:pt>
                <c:pt idx="8">
                  <c:v>5.4332563430975291E-2</c:v>
                </c:pt>
                <c:pt idx="9">
                  <c:v>6.7354516008196905E-2</c:v>
                </c:pt>
                <c:pt idx="10">
                  <c:v>7.4471917834793844E-2</c:v>
                </c:pt>
                <c:pt idx="11">
                  <c:v>8.8361611876988336E-2</c:v>
                </c:pt>
                <c:pt idx="12">
                  <c:v>9.8423446707329679E-2</c:v>
                </c:pt>
                <c:pt idx="14">
                  <c:v>3.0847538290994145E-3</c:v>
                </c:pt>
                <c:pt idx="15">
                  <c:v>4.0891976299582619E-3</c:v>
                </c:pt>
                <c:pt idx="16">
                  <c:v>5.8985519084236689E-3</c:v>
                </c:pt>
                <c:pt idx="17">
                  <c:v>6.2843293670608582E-3</c:v>
                </c:pt>
                <c:pt idx="18">
                  <c:v>7.7640656586571936E-3</c:v>
                </c:pt>
                <c:pt idx="19">
                  <c:v>8.9106146127804573E-3</c:v>
                </c:pt>
                <c:pt idx="20">
                  <c:v>1.1966794500928133E-2</c:v>
                </c:pt>
                <c:pt idx="21">
                  <c:v>1.4867542286932576E-2</c:v>
                </c:pt>
                <c:pt idx="22">
                  <c:v>1.6982016602512383E-2</c:v>
                </c:pt>
                <c:pt idx="23">
                  <c:v>2.5804545262672542E-2</c:v>
                </c:pt>
                <c:pt idx="24">
                  <c:v>2.9139743198646661E-2</c:v>
                </c:pt>
                <c:pt idx="25">
                  <c:v>3.2396265560165977E-2</c:v>
                </c:pt>
                <c:pt idx="26">
                  <c:v>3.3993023175491313E-2</c:v>
                </c:pt>
                <c:pt idx="28">
                  <c:v>3.0393707268034872E-3</c:v>
                </c:pt>
                <c:pt idx="29">
                  <c:v>4.2029017907044336E-3</c:v>
                </c:pt>
                <c:pt idx="30">
                  <c:v>5.1981049678426804E-3</c:v>
                </c:pt>
                <c:pt idx="31">
                  <c:v>5.6063620233736903E-3</c:v>
                </c:pt>
                <c:pt idx="32">
                  <c:v>7.4753200311947201E-3</c:v>
                </c:pt>
                <c:pt idx="33">
                  <c:v>9.1298773011876787E-3</c:v>
                </c:pt>
                <c:pt idx="34">
                  <c:v>1.3546904180433845E-2</c:v>
                </c:pt>
                <c:pt idx="35">
                  <c:v>1.4723476986936882E-2</c:v>
                </c:pt>
                <c:pt idx="36">
                  <c:v>1.4952950588593852E-2</c:v>
                </c:pt>
                <c:pt idx="37">
                  <c:v>1.7001940860828863E-2</c:v>
                </c:pt>
                <c:pt idx="38">
                  <c:v>1.8883484227748402E-2</c:v>
                </c:pt>
                <c:pt idx="39">
                  <c:v>2.6470810679081337E-2</c:v>
                </c:pt>
                <c:pt idx="40">
                  <c:v>2.6595632761443066E-2</c:v>
                </c:pt>
                <c:pt idx="42">
                  <c:v>0.74919026425377766</c:v>
                </c:pt>
                <c:pt idx="43">
                  <c:v>0.78993070066791793</c:v>
                </c:pt>
                <c:pt idx="44">
                  <c:v>0.82005799836697679</c:v>
                </c:pt>
                <c:pt idx="45">
                  <c:v>0.85432704426906592</c:v>
                </c:pt>
                <c:pt idx="46">
                  <c:v>0.86312739919217996</c:v>
                </c:pt>
                <c:pt idx="47">
                  <c:v>0.87873911843929919</c:v>
                </c:pt>
                <c:pt idx="48">
                  <c:v>0.90024527401133958</c:v>
                </c:pt>
                <c:pt idx="49">
                  <c:v>0.901646214445054</c:v>
                </c:pt>
                <c:pt idx="50">
                  <c:v>0.90389960583708706</c:v>
                </c:pt>
                <c:pt idx="51">
                  <c:v>0.88784366809670578</c:v>
                </c:pt>
                <c:pt idx="52">
                  <c:v>0.8982459444855222</c:v>
                </c:pt>
                <c:pt idx="53">
                  <c:v>0.90047191616377498</c:v>
                </c:pt>
                <c:pt idx="54">
                  <c:v>0.9044858541019769</c:v>
                </c:pt>
                <c:pt idx="56">
                  <c:v>1.664946371673473E-2</c:v>
                </c:pt>
                <c:pt idx="57">
                  <c:v>2.0939985940720676E-2</c:v>
                </c:pt>
                <c:pt idx="58">
                  <c:v>2.4452161417794275E-2</c:v>
                </c:pt>
                <c:pt idx="59">
                  <c:v>2.572024380173964E-2</c:v>
                </c:pt>
                <c:pt idx="60">
                  <c:v>3.1167825957754119E-2</c:v>
                </c:pt>
                <c:pt idx="61">
                  <c:v>3.6283741368487131E-2</c:v>
                </c:pt>
                <c:pt idx="62">
                  <c:v>4.2977619469888748E-2</c:v>
                </c:pt>
                <c:pt idx="63">
                  <c:v>4.8889870105905536E-2</c:v>
                </c:pt>
                <c:pt idx="64">
                  <c:v>5.4618590919062668E-2</c:v>
                </c:pt>
                <c:pt idx="65">
                  <c:v>6.4214027448576155E-2</c:v>
                </c:pt>
                <c:pt idx="66">
                  <c:v>7.0523715828693434E-2</c:v>
                </c:pt>
                <c:pt idx="67">
                  <c:v>7.5852997516370146E-2</c:v>
                </c:pt>
                <c:pt idx="68">
                  <c:v>8.1852138506578728E-2</c:v>
                </c:pt>
              </c:numCache>
            </c:numRef>
          </c:val>
          <c:extLst>
            <c:ext xmlns:c16="http://schemas.microsoft.com/office/drawing/2014/chart" uri="{C3380CC4-5D6E-409C-BE32-E72D297353CC}">
              <c16:uniqueId val="{00000003-6E2C-43B9-AF42-6ED297197694}"/>
            </c:ext>
          </c:extLst>
        </c:ser>
        <c:ser>
          <c:idx val="4"/>
          <c:order val="4"/>
          <c:tx>
            <c:strRef>
              <c:f>'Ch4. Patent applications filed'!$B$67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filed'!$AE$114:$CU$114</c:f>
              <c:numCache>
                <c:formatCode>0%</c:formatCode>
                <c:ptCount val="69"/>
                <c:pt idx="0">
                  <c:v>0.26178284457575135</c:v>
                </c:pt>
                <c:pt idx="1">
                  <c:v>0.24503186051396961</c:v>
                </c:pt>
                <c:pt idx="2">
                  <c:v>0.23719476881220791</c:v>
                </c:pt>
                <c:pt idx="3">
                  <c:v>0.22881063644171531</c:v>
                </c:pt>
                <c:pt idx="4">
                  <c:v>0.24010238121870497</c:v>
                </c:pt>
                <c:pt idx="5">
                  <c:v>0.26678831660646662</c:v>
                </c:pt>
                <c:pt idx="6">
                  <c:v>0.2514919706563416</c:v>
                </c:pt>
                <c:pt idx="7">
                  <c:v>0.25488913166140437</c:v>
                </c:pt>
                <c:pt idx="8">
                  <c:v>0.25096715401676972</c:v>
                </c:pt>
                <c:pt idx="9">
                  <c:v>0.25437388449419385</c:v>
                </c:pt>
                <c:pt idx="10">
                  <c:v>0.24526513576880227</c:v>
                </c:pt>
                <c:pt idx="11">
                  <c:v>0.24672852598091199</c:v>
                </c:pt>
                <c:pt idx="12">
                  <c:v>0.248568179468624</c:v>
                </c:pt>
                <c:pt idx="14">
                  <c:v>6.7275492022588645E-2</c:v>
                </c:pt>
                <c:pt idx="15">
                  <c:v>6.8340095151922006E-2</c:v>
                </c:pt>
                <c:pt idx="16">
                  <c:v>6.6867758083524895E-2</c:v>
                </c:pt>
                <c:pt idx="17">
                  <c:v>7.1493380749978686E-2</c:v>
                </c:pt>
                <c:pt idx="18">
                  <c:v>7.9751157247637192E-2</c:v>
                </c:pt>
                <c:pt idx="19">
                  <c:v>8.3147956990596794E-2</c:v>
                </c:pt>
                <c:pt idx="20">
                  <c:v>7.5315423973164222E-2</c:v>
                </c:pt>
                <c:pt idx="21">
                  <c:v>7.5198050734899324E-2</c:v>
                </c:pt>
                <c:pt idx="22">
                  <c:v>7.3735437721443906E-2</c:v>
                </c:pt>
                <c:pt idx="23">
                  <c:v>7.4250979806409087E-2</c:v>
                </c:pt>
                <c:pt idx="24">
                  <c:v>7.782731079619512E-2</c:v>
                </c:pt>
                <c:pt idx="25">
                  <c:v>8.644190871369295E-2</c:v>
                </c:pt>
                <c:pt idx="26">
                  <c:v>9.2819396953683561E-2</c:v>
                </c:pt>
                <c:pt idx="28">
                  <c:v>6.7700954139011532E-2</c:v>
                </c:pt>
                <c:pt idx="29">
                  <c:v>6.7844447922022752E-2</c:v>
                </c:pt>
                <c:pt idx="30">
                  <c:v>6.0058756583648731E-2</c:v>
                </c:pt>
                <c:pt idx="31">
                  <c:v>6.3498037528899404E-2</c:v>
                </c:pt>
                <c:pt idx="32">
                  <c:v>6.6488501702394759E-2</c:v>
                </c:pt>
                <c:pt idx="33">
                  <c:v>6.8588729678886629E-2</c:v>
                </c:pt>
                <c:pt idx="34">
                  <c:v>6.5368960398410184E-2</c:v>
                </c:pt>
                <c:pt idx="35">
                  <c:v>6.5911366133561231E-2</c:v>
                </c:pt>
                <c:pt idx="36">
                  <c:v>6.1969027391519674E-2</c:v>
                </c:pt>
                <c:pt idx="37">
                  <c:v>5.987441488754424E-2</c:v>
                </c:pt>
                <c:pt idx="38">
                  <c:v>5.876723746356264E-2</c:v>
                </c:pt>
                <c:pt idx="39">
                  <c:v>6.5160211430348156E-2</c:v>
                </c:pt>
                <c:pt idx="40">
                  <c:v>7.4413065525411035E-2</c:v>
                </c:pt>
                <c:pt idx="42">
                  <c:v>6.4881115198490713E-2</c:v>
                </c:pt>
                <c:pt idx="43">
                  <c:v>5.4058418121167448E-2</c:v>
                </c:pt>
                <c:pt idx="44">
                  <c:v>4.5206862374133891E-2</c:v>
                </c:pt>
                <c:pt idx="45">
                  <c:v>3.6347947489868339E-2</c:v>
                </c:pt>
                <c:pt idx="46">
                  <c:v>3.659108122696425E-2</c:v>
                </c:pt>
                <c:pt idx="47">
                  <c:v>3.3775493164310659E-2</c:v>
                </c:pt>
                <c:pt idx="48">
                  <c:v>2.6817272729310282E-2</c:v>
                </c:pt>
                <c:pt idx="49">
                  <c:v>2.6766184566522438E-2</c:v>
                </c:pt>
                <c:pt idx="50">
                  <c:v>2.520035641977118E-2</c:v>
                </c:pt>
                <c:pt idx="51">
                  <c:v>2.816527339591807E-2</c:v>
                </c:pt>
                <c:pt idx="52">
                  <c:v>2.5301253908235531E-2</c:v>
                </c:pt>
                <c:pt idx="53">
                  <c:v>2.6655096322484664E-2</c:v>
                </c:pt>
                <c:pt idx="54">
                  <c:v>2.6610789566643693E-2</c:v>
                </c:pt>
                <c:pt idx="56">
                  <c:v>0.49360295047590297</c:v>
                </c:pt>
                <c:pt idx="57">
                  <c:v>0.491975487606785</c:v>
                </c:pt>
                <c:pt idx="58">
                  <c:v>0.49516317714138336</c:v>
                </c:pt>
                <c:pt idx="59">
                  <c:v>0.51361412986431354</c:v>
                </c:pt>
                <c:pt idx="60">
                  <c:v>0.49256222335099048</c:v>
                </c:pt>
                <c:pt idx="61">
                  <c:v>0.48919258241292141</c:v>
                </c:pt>
                <c:pt idx="62">
                  <c:v>0.48768352513578095</c:v>
                </c:pt>
                <c:pt idx="63">
                  <c:v>0.48422620420590617</c:v>
                </c:pt>
                <c:pt idx="64">
                  <c:v>0.4774333030222343</c:v>
                </c:pt>
                <c:pt idx="65">
                  <c:v>0.47147250073617797</c:v>
                </c:pt>
                <c:pt idx="66">
                  <c:v>0.4643479717000879</c:v>
                </c:pt>
                <c:pt idx="67">
                  <c:v>0.47676901566090085</c:v>
                </c:pt>
                <c:pt idx="68">
                  <c:v>0.46031732678264964</c:v>
                </c:pt>
              </c:numCache>
            </c:numRef>
          </c:val>
          <c:extLst>
            <c:ext xmlns:c16="http://schemas.microsoft.com/office/drawing/2014/chart" uri="{C3380CC4-5D6E-409C-BE32-E72D297353CC}">
              <c16:uniqueId val="{00000004-6E2C-43B9-AF42-6ED297197694}"/>
            </c:ext>
          </c:extLst>
        </c:ser>
        <c:ser>
          <c:idx val="5"/>
          <c:order val="5"/>
          <c:tx>
            <c:strRef>
              <c:f>'Ch4. Patent applications filed'!$B$68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filed'!$AE$108:$CU$109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Patent applications filed'!$AE$115:$CU$115</c:f>
              <c:numCache>
                <c:formatCode>0%</c:formatCode>
                <c:ptCount val="69"/>
                <c:pt idx="0">
                  <c:v>5.594822503825491E-2</c:v>
                </c:pt>
                <c:pt idx="1">
                  <c:v>5.5374273510258386E-2</c:v>
                </c:pt>
                <c:pt idx="2">
                  <c:v>5.4985386614947403E-2</c:v>
                </c:pt>
                <c:pt idx="3">
                  <c:v>5.1856711007716293E-2</c:v>
                </c:pt>
                <c:pt idx="4">
                  <c:v>4.9525927583053145E-2</c:v>
                </c:pt>
                <c:pt idx="5">
                  <c:v>4.7962155203659498E-2</c:v>
                </c:pt>
                <c:pt idx="6">
                  <c:v>5.1727924795893394E-2</c:v>
                </c:pt>
                <c:pt idx="7">
                  <c:v>5.2618941858650368E-2</c:v>
                </c:pt>
                <c:pt idx="8">
                  <c:v>5.5960247820679612E-2</c:v>
                </c:pt>
                <c:pt idx="9">
                  <c:v>5.590749840248551E-2</c:v>
                </c:pt>
                <c:pt idx="10">
                  <c:v>5.6325069145368785E-2</c:v>
                </c:pt>
                <c:pt idx="11">
                  <c:v>5.5949098621420994E-2</c:v>
                </c:pt>
                <c:pt idx="12">
                  <c:v>5.392846066370309E-2</c:v>
                </c:pt>
                <c:pt idx="14">
                  <c:v>1.2408661686951173E-2</c:v>
                </c:pt>
                <c:pt idx="15">
                  <c:v>1.221505501882607E-2</c:v>
                </c:pt>
                <c:pt idx="16">
                  <c:v>1.2345534953733415E-2</c:v>
                </c:pt>
                <c:pt idx="17">
                  <c:v>1.3463810300941431E-2</c:v>
                </c:pt>
                <c:pt idx="18">
                  <c:v>1.4322569166444267E-2</c:v>
                </c:pt>
                <c:pt idx="19">
                  <c:v>1.4228745517239216E-2</c:v>
                </c:pt>
                <c:pt idx="20">
                  <c:v>1.4335026273552756E-2</c:v>
                </c:pt>
                <c:pt idx="21">
                  <c:v>1.4989999340615864E-2</c:v>
                </c:pt>
                <c:pt idx="22">
                  <c:v>1.7658108155513812E-2</c:v>
                </c:pt>
                <c:pt idx="23">
                  <c:v>1.8686945764021703E-2</c:v>
                </c:pt>
                <c:pt idx="24">
                  <c:v>1.7727890401841428E-2</c:v>
                </c:pt>
                <c:pt idx="25">
                  <c:v>1.9187413554633471E-2</c:v>
                </c:pt>
                <c:pt idx="26">
                  <c:v>1.8170828584257243E-2</c:v>
                </c:pt>
                <c:pt idx="28">
                  <c:v>1.2151604047007367E-2</c:v>
                </c:pt>
                <c:pt idx="29">
                  <c:v>1.2278956428427712E-2</c:v>
                </c:pt>
                <c:pt idx="30">
                  <c:v>1.1925998464918085E-2</c:v>
                </c:pt>
                <c:pt idx="31">
                  <c:v>1.1916574204869275E-2</c:v>
                </c:pt>
                <c:pt idx="32">
                  <c:v>1.2901108934243814E-2</c:v>
                </c:pt>
                <c:pt idx="33">
                  <c:v>1.1727048957855625E-2</c:v>
                </c:pt>
                <c:pt idx="34">
                  <c:v>1.1071206244313557E-2</c:v>
                </c:pt>
                <c:pt idx="35">
                  <c:v>1.2164570870467586E-2</c:v>
                </c:pt>
                <c:pt idx="36">
                  <c:v>1.4086250904796373E-2</c:v>
                </c:pt>
                <c:pt idx="37">
                  <c:v>1.5097613882863341E-2</c:v>
                </c:pt>
                <c:pt idx="38">
                  <c:v>1.4103078598864874E-2</c:v>
                </c:pt>
                <c:pt idx="39">
                  <c:v>1.397910906814343E-2</c:v>
                </c:pt>
                <c:pt idx="40">
                  <c:v>1.2990619989647902E-2</c:v>
                </c:pt>
                <c:pt idx="42">
                  <c:v>1.0061941269553169E-2</c:v>
                </c:pt>
                <c:pt idx="43">
                  <c:v>8.6757140794662731E-3</c:v>
                </c:pt>
                <c:pt idx="44">
                  <c:v>7.5201791729794399E-3</c:v>
                </c:pt>
                <c:pt idx="45">
                  <c:v>5.8923619863876986E-3</c:v>
                </c:pt>
                <c:pt idx="46">
                  <c:v>6.6194271135785526E-3</c:v>
                </c:pt>
                <c:pt idx="47">
                  <c:v>7.3030791458837023E-3</c:v>
                </c:pt>
                <c:pt idx="48">
                  <c:v>6.1180288725538904E-3</c:v>
                </c:pt>
                <c:pt idx="49">
                  <c:v>5.7896893009089503E-3</c:v>
                </c:pt>
                <c:pt idx="50">
                  <c:v>6.717890119468068E-3</c:v>
                </c:pt>
                <c:pt idx="51">
                  <c:v>7.8541488625727424E-3</c:v>
                </c:pt>
                <c:pt idx="52">
                  <c:v>6.2478333964528822E-3</c:v>
                </c:pt>
                <c:pt idx="53">
                  <c:v>5.2362954801871524E-3</c:v>
                </c:pt>
                <c:pt idx="54">
                  <c:v>4.2093093916510419E-3</c:v>
                </c:pt>
                <c:pt idx="56">
                  <c:v>0.10445386413613313</c:v>
                </c:pt>
                <c:pt idx="57">
                  <c:v>0.10425313057257805</c:v>
                </c:pt>
                <c:pt idx="58">
                  <c:v>0.10574136676399878</c:v>
                </c:pt>
                <c:pt idx="59">
                  <c:v>0.10241212570764785</c:v>
                </c:pt>
                <c:pt idx="60">
                  <c:v>0.10461608633004033</c:v>
                </c:pt>
                <c:pt idx="61">
                  <c:v>0.10505759997285422</c:v>
                </c:pt>
                <c:pt idx="62">
                  <c:v>0.10500337697809176</c:v>
                </c:pt>
                <c:pt idx="63">
                  <c:v>0.10660575066396905</c:v>
                </c:pt>
                <c:pt idx="64">
                  <c:v>0.10792928303365537</c:v>
                </c:pt>
                <c:pt idx="65">
                  <c:v>0.1099037256236594</c:v>
                </c:pt>
                <c:pt idx="66">
                  <c:v>0.11164901410809226</c:v>
                </c:pt>
                <c:pt idx="67">
                  <c:v>0.10703278087080897</c:v>
                </c:pt>
                <c:pt idx="68">
                  <c:v>0.10860113739610323</c:v>
                </c:pt>
              </c:numCache>
            </c:numRef>
          </c:val>
          <c:extLst>
            <c:ext xmlns:c16="http://schemas.microsoft.com/office/drawing/2014/chart" uri="{C3380CC4-5D6E-409C-BE32-E72D297353CC}">
              <c16:uniqueId val="{00000005-6E2C-43B9-AF42-6ED297197694}"/>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1"/>
          <c:min val="0"/>
        </c:scaling>
        <c:delete val="1"/>
        <c:axPos val="l"/>
        <c:numFmt formatCode="0%" sourceLinked="1"/>
        <c:majorTickMark val="out"/>
        <c:minorTickMark val="none"/>
        <c:tickLblPos val="nextTo"/>
        <c:crossAx val="621250136"/>
        <c:crosses val="autoZero"/>
        <c:crossBetween val="between"/>
      </c:valAx>
      <c:spPr>
        <a:noFill/>
        <a:ln>
          <a:noFill/>
        </a:ln>
        <a:effectLst/>
      </c:spPr>
    </c:plotArea>
    <c:legend>
      <c:legendPos val="b"/>
      <c:legendEntry>
        <c:idx val="2"/>
        <c:delete val="1"/>
      </c:legendEntry>
      <c:layout>
        <c:manualLayout>
          <c:xMode val="edge"/>
          <c:yMode val="edge"/>
          <c:x val="0.21783060533773121"/>
          <c:y val="1.6150581177352834E-2"/>
          <c:w val="0.17617215836086136"/>
          <c:h val="3.905436820397450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4.3: APPLICATIONS FILED - </a:t>
            </a:r>
            <a:r>
              <a:rPr lang="en-GB" b="1" baseline="0"/>
              <a:t>SECTOR OF TECHNOLOGY</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5769805680119583E-3"/>
          <c:y val="8.2422222222222216E-2"/>
          <c:w val="0.98684603886397604"/>
          <c:h val="0.81373423322084737"/>
        </c:manualLayout>
      </c:layout>
      <c:barChart>
        <c:barDir val="col"/>
        <c:grouping val="stacked"/>
        <c:varyColors val="0"/>
        <c:ser>
          <c:idx val="0"/>
          <c:order val="0"/>
          <c:tx>
            <c:strRef>
              <c:f>'Ch4. Applications technology'!$B$8</c:f>
              <c:strCache>
                <c:ptCount val="1"/>
                <c:pt idx="0">
                  <c:v>Electrical engineering</c:v>
                </c:pt>
              </c:strCache>
            </c:strRef>
          </c:tx>
          <c:spPr>
            <a:solidFill>
              <a:srgbClr val="D0C094">
                <a:alpha val="96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technology'!$Q$46:$CB$47</c:f>
              <c:multiLvlStrCache>
                <c:ptCount val="64"/>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2">
                    <c:v>2011</c:v>
                  </c:pt>
                  <c:pt idx="53">
                    <c:v>2012</c:v>
                  </c:pt>
                  <c:pt idx="54">
                    <c:v>2013</c:v>
                  </c:pt>
                  <c:pt idx="55">
                    <c:v>2014</c:v>
                  </c:pt>
                  <c:pt idx="56">
                    <c:v>2015</c:v>
                  </c:pt>
                  <c:pt idx="57">
                    <c:v>2016</c:v>
                  </c:pt>
                  <c:pt idx="58">
                    <c:v>2017</c:v>
                  </c:pt>
                  <c:pt idx="59">
                    <c:v>2018</c:v>
                  </c:pt>
                  <c:pt idx="60">
                    <c:v>2019</c:v>
                  </c:pt>
                  <c:pt idx="61">
                    <c:v>2020</c:v>
                  </c:pt>
                  <c:pt idx="62">
                    <c:v>2021</c:v>
                  </c:pt>
                  <c:pt idx="63">
                    <c:v>2022</c:v>
                  </c:pt>
                </c:lvl>
                <c:lvl>
                  <c:pt idx="0">
                    <c:v>EPO</c:v>
                  </c:pt>
                  <c:pt idx="13">
                    <c:v>JPO</c:v>
                  </c:pt>
                  <c:pt idx="26">
                    <c:v>KIPO</c:v>
                  </c:pt>
                  <c:pt idx="39">
                    <c:v>CNIPA</c:v>
                  </c:pt>
                  <c:pt idx="52">
                    <c:v>USPTO</c:v>
                  </c:pt>
                </c:lvl>
              </c:multiLvlStrCache>
            </c:multiLvlStrRef>
          </c:cat>
          <c:val>
            <c:numRef>
              <c:f>'Ch4. Applications technology'!$Q$48:$CB$48</c:f>
              <c:numCache>
                <c:formatCode>0%</c:formatCode>
                <c:ptCount val="64"/>
                <c:pt idx="0">
                  <c:v>0.28260255211843222</c:v>
                </c:pt>
                <c:pt idx="1">
                  <c:v>0.2912617975491768</c:v>
                </c:pt>
                <c:pt idx="2">
                  <c:v>0.28714503649684969</c:v>
                </c:pt>
                <c:pt idx="3">
                  <c:v>0.28904465621800424</c:v>
                </c:pt>
                <c:pt idx="4">
                  <c:v>0.28454938310264921</c:v>
                </c:pt>
                <c:pt idx="5">
                  <c:v>0.28401034228952121</c:v>
                </c:pt>
                <c:pt idx="6">
                  <c:v>0.28759040154930854</c:v>
                </c:pt>
                <c:pt idx="7">
                  <c:v>0.27757176999214817</c:v>
                </c:pt>
                <c:pt idx="8">
                  <c:v>0.29241039436402322</c:v>
                </c:pt>
                <c:pt idx="9">
                  <c:v>0.29850323669512885</c:v>
                </c:pt>
                <c:pt idx="10">
                  <c:v>0.31070060513327274</c:v>
                </c:pt>
                <c:pt idx="11">
                  <c:v>0.32994734441726442</c:v>
                </c:pt>
                <c:pt idx="13">
                  <c:v>0.35884838593901308</c:v>
                </c:pt>
                <c:pt idx="14">
                  <c:v>0.35828966265487588</c:v>
                </c:pt>
                <c:pt idx="15">
                  <c:v>0.34781624509277642</c:v>
                </c:pt>
                <c:pt idx="16">
                  <c:v>0.33770041922705218</c:v>
                </c:pt>
                <c:pt idx="17">
                  <c:v>0.30960494762085067</c:v>
                </c:pt>
                <c:pt idx="18">
                  <c:v>0.30188434828215938</c:v>
                </c:pt>
                <c:pt idx="19">
                  <c:v>0.29803685468059488</c:v>
                </c:pt>
                <c:pt idx="20">
                  <c:v>0.29358048030247202</c:v>
                </c:pt>
                <c:pt idx="21">
                  <c:v>0.29389581506390272</c:v>
                </c:pt>
                <c:pt idx="22">
                  <c:v>0.29341413408834155</c:v>
                </c:pt>
                <c:pt idx="23">
                  <c:v>0.3039861387998789</c:v>
                </c:pt>
                <c:pt idx="24">
                  <c:v>0.3039861387998789</c:v>
                </c:pt>
                <c:pt idx="26">
                  <c:v>0.36940332812356347</c:v>
                </c:pt>
                <c:pt idx="27">
                  <c:v>0.3679307538329557</c:v>
                </c:pt>
                <c:pt idx="28">
                  <c:v>0.36187998312913833</c:v>
                </c:pt>
                <c:pt idx="29">
                  <c:v>0.35243856557295894</c:v>
                </c:pt>
                <c:pt idx="30">
                  <c:v>0.34894345259677162</c:v>
                </c:pt>
                <c:pt idx="31">
                  <c:v>0.33965234633837693</c:v>
                </c:pt>
                <c:pt idx="32">
                  <c:v>0.33034121348588741</c:v>
                </c:pt>
                <c:pt idx="33">
                  <c:v>0.31823117071126517</c:v>
                </c:pt>
                <c:pt idx="34">
                  <c:v>0.32877269094645506</c:v>
                </c:pt>
                <c:pt idx="35">
                  <c:v>0.34047961959627826</c:v>
                </c:pt>
                <c:pt idx="36">
                  <c:v>0.35995701850543982</c:v>
                </c:pt>
                <c:pt idx="37">
                  <c:v>0.38169854070993897</c:v>
                </c:pt>
                <c:pt idx="39">
                  <c:v>0.29229427971835609</c:v>
                </c:pt>
                <c:pt idx="40">
                  <c:v>0.25047024696464082</c:v>
                </c:pt>
                <c:pt idx="41">
                  <c:v>0.26119062435179424</c:v>
                </c:pt>
                <c:pt idx="42">
                  <c:v>0.24872974667947895</c:v>
                </c:pt>
                <c:pt idx="43">
                  <c:v>0.22983946392614679</c:v>
                </c:pt>
                <c:pt idx="44">
                  <c:v>0.23714580788996992</c:v>
                </c:pt>
                <c:pt idx="45">
                  <c:v>0.23820064314770911</c:v>
                </c:pt>
                <c:pt idx="46">
                  <c:v>0.23734354764787097</c:v>
                </c:pt>
                <c:pt idx="47">
                  <c:v>0.29789245993221264</c:v>
                </c:pt>
                <c:pt idx="48">
                  <c:v>0.31072281004784785</c:v>
                </c:pt>
                <c:pt idx="49">
                  <c:v>0.3238131652077984</c:v>
                </c:pt>
                <c:pt idx="50">
                  <c:v>0.36403584542945044</c:v>
                </c:pt>
                <c:pt idx="52">
                  <c:v>0.47951198242673848</c:v>
                </c:pt>
                <c:pt idx="53">
                  <c:v>0.49837170260061248</c:v>
                </c:pt>
                <c:pt idx="54">
                  <c:v>0.49417942383030472</c:v>
                </c:pt>
                <c:pt idx="55">
                  <c:v>0.47079590031573582</c:v>
                </c:pt>
                <c:pt idx="56">
                  <c:v>0.47310246883472723</c:v>
                </c:pt>
                <c:pt idx="57">
                  <c:v>0.47328345417373174</c:v>
                </c:pt>
                <c:pt idx="58">
                  <c:v>0.46330436996502722</c:v>
                </c:pt>
                <c:pt idx="59">
                  <c:v>0.43832361201123354</c:v>
                </c:pt>
                <c:pt idx="60">
                  <c:v>0.43839196206310049</c:v>
                </c:pt>
                <c:pt idx="61">
                  <c:v>0.46067650273032335</c:v>
                </c:pt>
                <c:pt idx="62">
                  <c:v>0.45930722647225836</c:v>
                </c:pt>
                <c:pt idx="63">
                  <c:v>0.4696525441433913</c:v>
                </c:pt>
              </c:numCache>
            </c:numRef>
          </c:val>
          <c:extLst>
            <c:ext xmlns:c16="http://schemas.microsoft.com/office/drawing/2014/chart" uri="{C3380CC4-5D6E-409C-BE32-E72D297353CC}">
              <c16:uniqueId val="{00000000-718A-40B7-8CC8-6ECB8A18DA9A}"/>
            </c:ext>
          </c:extLst>
        </c:ser>
        <c:ser>
          <c:idx val="1"/>
          <c:order val="1"/>
          <c:tx>
            <c:strRef>
              <c:f>'Ch4. Applications technology'!$B$9</c:f>
              <c:strCache>
                <c:ptCount val="1"/>
                <c:pt idx="0">
                  <c:v>Instruments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technology'!$Q$46:$CB$47</c:f>
              <c:multiLvlStrCache>
                <c:ptCount val="64"/>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2">
                    <c:v>2011</c:v>
                  </c:pt>
                  <c:pt idx="53">
                    <c:v>2012</c:v>
                  </c:pt>
                  <c:pt idx="54">
                    <c:v>2013</c:v>
                  </c:pt>
                  <c:pt idx="55">
                    <c:v>2014</c:v>
                  </c:pt>
                  <c:pt idx="56">
                    <c:v>2015</c:v>
                  </c:pt>
                  <c:pt idx="57">
                    <c:v>2016</c:v>
                  </c:pt>
                  <c:pt idx="58">
                    <c:v>2017</c:v>
                  </c:pt>
                  <c:pt idx="59">
                    <c:v>2018</c:v>
                  </c:pt>
                  <c:pt idx="60">
                    <c:v>2019</c:v>
                  </c:pt>
                  <c:pt idx="61">
                    <c:v>2020</c:v>
                  </c:pt>
                  <c:pt idx="62">
                    <c:v>2021</c:v>
                  </c:pt>
                  <c:pt idx="63">
                    <c:v>2022</c:v>
                  </c:pt>
                </c:lvl>
                <c:lvl>
                  <c:pt idx="0">
                    <c:v>EPO</c:v>
                  </c:pt>
                  <c:pt idx="13">
                    <c:v>JPO</c:v>
                  </c:pt>
                  <c:pt idx="26">
                    <c:v>KIPO</c:v>
                  </c:pt>
                  <c:pt idx="39">
                    <c:v>CNIPA</c:v>
                  </c:pt>
                  <c:pt idx="52">
                    <c:v>USPTO</c:v>
                  </c:pt>
                </c:lvl>
              </c:multiLvlStrCache>
            </c:multiLvlStrRef>
          </c:cat>
          <c:val>
            <c:numRef>
              <c:f>'Ch4. Applications technology'!$Q$49:$CB$49</c:f>
              <c:numCache>
                <c:formatCode>0%</c:formatCode>
                <c:ptCount val="64"/>
                <c:pt idx="0">
                  <c:v>0.16816301094903735</c:v>
                </c:pt>
                <c:pt idx="1">
                  <c:v>0.16338821430065104</c:v>
                </c:pt>
                <c:pt idx="2">
                  <c:v>0.16393139823638467</c:v>
                </c:pt>
                <c:pt idx="3">
                  <c:v>0.16673886219841957</c:v>
                </c:pt>
                <c:pt idx="4">
                  <c:v>0.17200475981712282</c:v>
                </c:pt>
                <c:pt idx="5">
                  <c:v>0.17030806686000793</c:v>
                </c:pt>
                <c:pt idx="6">
                  <c:v>0.17697824310830029</c:v>
                </c:pt>
                <c:pt idx="7">
                  <c:v>0.17764684980026479</c:v>
                </c:pt>
                <c:pt idx="8">
                  <c:v>0.17635579859541581</c:v>
                </c:pt>
                <c:pt idx="9">
                  <c:v>0.18166020808118941</c:v>
                </c:pt>
                <c:pt idx="10">
                  <c:v>0.17738533547972352</c:v>
                </c:pt>
                <c:pt idx="11">
                  <c:v>0.17540113603383226</c:v>
                </c:pt>
                <c:pt idx="13">
                  <c:v>0.1740050517704898</c:v>
                </c:pt>
                <c:pt idx="14">
                  <c:v>0.1778321029039987</c:v>
                </c:pt>
                <c:pt idx="15">
                  <c:v>0.16931295636370691</c:v>
                </c:pt>
                <c:pt idx="16">
                  <c:v>0.16956761231887643</c:v>
                </c:pt>
                <c:pt idx="17">
                  <c:v>0.17159851066515208</c:v>
                </c:pt>
                <c:pt idx="18">
                  <c:v>0.17472559415106381</c:v>
                </c:pt>
                <c:pt idx="19">
                  <c:v>0.17489267004154505</c:v>
                </c:pt>
                <c:pt idx="20">
                  <c:v>0.17918582482897835</c:v>
                </c:pt>
                <c:pt idx="21">
                  <c:v>0.17720708614946534</c:v>
                </c:pt>
                <c:pt idx="22">
                  <c:v>0.17858338331078535</c:v>
                </c:pt>
                <c:pt idx="23">
                  <c:v>0.17606925033313503</c:v>
                </c:pt>
                <c:pt idx="24">
                  <c:v>0.17606925033313503</c:v>
                </c:pt>
                <c:pt idx="26">
                  <c:v>0.11747839477797187</c:v>
                </c:pt>
                <c:pt idx="27">
                  <c:v>0.11602802402058908</c:v>
                </c:pt>
                <c:pt idx="28">
                  <c:v>0.11305509962447088</c:v>
                </c:pt>
                <c:pt idx="29">
                  <c:v>0.1218243203104889</c:v>
                </c:pt>
                <c:pt idx="30">
                  <c:v>0.12929955088879541</c:v>
                </c:pt>
                <c:pt idx="31">
                  <c:v>0.13101032797421244</c:v>
                </c:pt>
                <c:pt idx="32">
                  <c:v>0.1280274881950198</c:v>
                </c:pt>
                <c:pt idx="33">
                  <c:v>0.13111928073450418</c:v>
                </c:pt>
                <c:pt idx="34">
                  <c:v>0.13003767553373674</c:v>
                </c:pt>
                <c:pt idx="35">
                  <c:v>0.14230391148298013</c:v>
                </c:pt>
                <c:pt idx="36">
                  <c:v>0.14148364146847664</c:v>
                </c:pt>
                <c:pt idx="37">
                  <c:v>0.14241750800829911</c:v>
                </c:pt>
                <c:pt idx="39">
                  <c:v>0.12078565692507687</c:v>
                </c:pt>
                <c:pt idx="40">
                  <c:v>0.12643411160150253</c:v>
                </c:pt>
                <c:pt idx="41">
                  <c:v>0.12852231084962884</c:v>
                </c:pt>
                <c:pt idx="42">
                  <c:v>0.13150788880442987</c:v>
                </c:pt>
                <c:pt idx="43">
                  <c:v>0.12925959750448379</c:v>
                </c:pt>
                <c:pt idx="44">
                  <c:v>0.12860749325836249</c:v>
                </c:pt>
                <c:pt idx="45">
                  <c:v>0.12821582959134992</c:v>
                </c:pt>
                <c:pt idx="46">
                  <c:v>0.13731734978034316</c:v>
                </c:pt>
                <c:pt idx="47">
                  <c:v>0.15202357229233729</c:v>
                </c:pt>
                <c:pt idx="48">
                  <c:v>0.15160629194724468</c:v>
                </c:pt>
                <c:pt idx="49">
                  <c:v>0.15662383435179242</c:v>
                </c:pt>
                <c:pt idx="50">
                  <c:v>0.15728566685167691</c:v>
                </c:pt>
                <c:pt idx="52">
                  <c:v>0.1488209754978643</c:v>
                </c:pt>
                <c:pt idx="53">
                  <c:v>0.14603379397180208</c:v>
                </c:pt>
                <c:pt idx="54">
                  <c:v>0.15854672239026529</c:v>
                </c:pt>
                <c:pt idx="55">
                  <c:v>0.1649304775870519</c:v>
                </c:pt>
                <c:pt idx="56">
                  <c:v>0.16352085096615931</c:v>
                </c:pt>
                <c:pt idx="57">
                  <c:v>0.16511611915316121</c:v>
                </c:pt>
                <c:pt idx="58">
                  <c:v>0.17284267059343653</c:v>
                </c:pt>
                <c:pt idx="59">
                  <c:v>0.17187900345144613</c:v>
                </c:pt>
                <c:pt idx="60">
                  <c:v>0.16779225460332478</c:v>
                </c:pt>
                <c:pt idx="61">
                  <c:v>0.1788260925240186</c:v>
                </c:pt>
                <c:pt idx="62">
                  <c:v>0.17898295400438052</c:v>
                </c:pt>
                <c:pt idx="63">
                  <c:v>0.17737682715097725</c:v>
                </c:pt>
              </c:numCache>
            </c:numRef>
          </c:val>
          <c:extLst>
            <c:ext xmlns:c16="http://schemas.microsoft.com/office/drawing/2014/chart" uri="{C3380CC4-5D6E-409C-BE32-E72D297353CC}">
              <c16:uniqueId val="{00000001-718A-40B7-8CC8-6ECB8A18DA9A}"/>
            </c:ext>
          </c:extLst>
        </c:ser>
        <c:ser>
          <c:idx val="2"/>
          <c:order val="2"/>
          <c:tx>
            <c:strRef>
              <c:f>'Ch4. Applications technology'!$B$10</c:f>
              <c:strCache>
                <c:ptCount val="1"/>
                <c:pt idx="0">
                  <c:v>Chemistry</c:v>
                </c:pt>
              </c:strCache>
            </c:strRef>
          </c:tx>
          <c:spPr>
            <a:solidFill>
              <a:srgbClr val="FFFF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technology'!$Q$46:$CB$47</c:f>
              <c:multiLvlStrCache>
                <c:ptCount val="64"/>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2">
                    <c:v>2011</c:v>
                  </c:pt>
                  <c:pt idx="53">
                    <c:v>2012</c:v>
                  </c:pt>
                  <c:pt idx="54">
                    <c:v>2013</c:v>
                  </c:pt>
                  <c:pt idx="55">
                    <c:v>2014</c:v>
                  </c:pt>
                  <c:pt idx="56">
                    <c:v>2015</c:v>
                  </c:pt>
                  <c:pt idx="57">
                    <c:v>2016</c:v>
                  </c:pt>
                  <c:pt idx="58">
                    <c:v>2017</c:v>
                  </c:pt>
                  <c:pt idx="59">
                    <c:v>2018</c:v>
                  </c:pt>
                  <c:pt idx="60">
                    <c:v>2019</c:v>
                  </c:pt>
                  <c:pt idx="61">
                    <c:v>2020</c:v>
                  </c:pt>
                  <c:pt idx="62">
                    <c:v>2021</c:v>
                  </c:pt>
                  <c:pt idx="63">
                    <c:v>2022</c:v>
                  </c:pt>
                </c:lvl>
                <c:lvl>
                  <c:pt idx="0">
                    <c:v>EPO</c:v>
                  </c:pt>
                  <c:pt idx="13">
                    <c:v>JPO</c:v>
                  </c:pt>
                  <c:pt idx="26">
                    <c:v>KIPO</c:v>
                  </c:pt>
                  <c:pt idx="39">
                    <c:v>CNIPA</c:v>
                  </c:pt>
                  <c:pt idx="52">
                    <c:v>USPTO</c:v>
                  </c:pt>
                </c:lvl>
              </c:multiLvlStrCache>
            </c:multiLvlStrRef>
          </c:cat>
          <c:val>
            <c:numRef>
              <c:f>'Ch4. Applications technology'!$Q$50:$CB$50</c:f>
              <c:numCache>
                <c:formatCode>0%</c:formatCode>
                <c:ptCount val="64"/>
                <c:pt idx="0">
                  <c:v>0.26065375390390066</c:v>
                </c:pt>
                <c:pt idx="1">
                  <c:v>0.25426245277495085</c:v>
                </c:pt>
                <c:pt idx="2">
                  <c:v>0.25391819506488711</c:v>
                </c:pt>
                <c:pt idx="3">
                  <c:v>0.25238245254784597</c:v>
                </c:pt>
                <c:pt idx="4">
                  <c:v>0.24783616208429887</c:v>
                </c:pt>
                <c:pt idx="5">
                  <c:v>0.24394969772079592</c:v>
                </c:pt>
                <c:pt idx="6">
                  <c:v>0.24241837383121009</c:v>
                </c:pt>
                <c:pt idx="7">
                  <c:v>0.24819894429765993</c:v>
                </c:pt>
                <c:pt idx="8">
                  <c:v>0.24189387341102278</c:v>
                </c:pt>
                <c:pt idx="9">
                  <c:v>0.24728794927882214</c:v>
                </c:pt>
                <c:pt idx="10">
                  <c:v>0.2469198769544636</c:v>
                </c:pt>
                <c:pt idx="11">
                  <c:v>0.24141237198888843</c:v>
                </c:pt>
                <c:pt idx="13">
                  <c:v>0.1538047416215777</c:v>
                </c:pt>
                <c:pt idx="14">
                  <c:v>0.152652059157976</c:v>
                </c:pt>
                <c:pt idx="15">
                  <c:v>0.16411307795290359</c:v>
                </c:pt>
                <c:pt idx="16">
                  <c:v>0.17282643472295062</c:v>
                </c:pt>
                <c:pt idx="17">
                  <c:v>0.19029408052505364</c:v>
                </c:pt>
                <c:pt idx="18">
                  <c:v>0.18732583048448351</c:v>
                </c:pt>
                <c:pt idx="19">
                  <c:v>0.18945550140900122</c:v>
                </c:pt>
                <c:pt idx="20">
                  <c:v>0.19413319662282319</c:v>
                </c:pt>
                <c:pt idx="21">
                  <c:v>0.19587941675641612</c:v>
                </c:pt>
                <c:pt idx="22">
                  <c:v>0.20681599464427677</c:v>
                </c:pt>
                <c:pt idx="23">
                  <c:v>0.2148312057922003</c:v>
                </c:pt>
                <c:pt idx="24">
                  <c:v>0.2148312057922003</c:v>
                </c:pt>
                <c:pt idx="26">
                  <c:v>0.20508297324629954</c:v>
                </c:pt>
                <c:pt idx="27">
                  <c:v>0.1997921295176085</c:v>
                </c:pt>
                <c:pt idx="28">
                  <c:v>0.20446772939544386</c:v>
                </c:pt>
                <c:pt idx="29">
                  <c:v>0.20908991901150473</c:v>
                </c:pt>
                <c:pt idx="30">
                  <c:v>0.205179523623056</c:v>
                </c:pt>
                <c:pt idx="31">
                  <c:v>0.21153664114150769</c:v>
                </c:pt>
                <c:pt idx="32">
                  <c:v>0.22095771555207661</c:v>
                </c:pt>
                <c:pt idx="33">
                  <c:v>0.21153662996685588</c:v>
                </c:pt>
                <c:pt idx="34">
                  <c:v>0.20612398675647906</c:v>
                </c:pt>
                <c:pt idx="35">
                  <c:v>0.20949637656310724</c:v>
                </c:pt>
                <c:pt idx="36">
                  <c:v>0.21274539963691036</c:v>
                </c:pt>
                <c:pt idx="37">
                  <c:v>0.21119338848714767</c:v>
                </c:pt>
                <c:pt idx="39">
                  <c:v>0.2984613405149274</c:v>
                </c:pt>
                <c:pt idx="40">
                  <c:v>0.29925553673308669</c:v>
                </c:pt>
                <c:pt idx="41">
                  <c:v>0.29441521625715777</c:v>
                </c:pt>
                <c:pt idx="42">
                  <c:v>0.31701767858842489</c:v>
                </c:pt>
                <c:pt idx="43">
                  <c:v>0.32165091381226413</c:v>
                </c:pt>
                <c:pt idx="44">
                  <c:v>0.2975869445833299</c:v>
                </c:pt>
                <c:pt idx="45">
                  <c:v>0.27436550164428758</c:v>
                </c:pt>
                <c:pt idx="46">
                  <c:v>0.26750705316226525</c:v>
                </c:pt>
                <c:pt idx="47">
                  <c:v>0.23402789842113331</c:v>
                </c:pt>
                <c:pt idx="48">
                  <c:v>0.21623006859873645</c:v>
                </c:pt>
                <c:pt idx="49">
                  <c:v>0.21406233303210911</c:v>
                </c:pt>
                <c:pt idx="50">
                  <c:v>0.1979095067087657</c:v>
                </c:pt>
                <c:pt idx="52">
                  <c:v>0.17326111709239395</c:v>
                </c:pt>
                <c:pt idx="53">
                  <c:v>0.16371772551336058</c:v>
                </c:pt>
                <c:pt idx="54">
                  <c:v>0.15787903976848539</c:v>
                </c:pt>
                <c:pt idx="55">
                  <c:v>0.16343673665444988</c:v>
                </c:pt>
                <c:pt idx="56">
                  <c:v>0.15836907716363741</c:v>
                </c:pt>
                <c:pt idx="57">
                  <c:v>0.15211634221732487</c:v>
                </c:pt>
                <c:pt idx="58">
                  <c:v>0.15098854481867646</c:v>
                </c:pt>
                <c:pt idx="59">
                  <c:v>0.14892964978120746</c:v>
                </c:pt>
                <c:pt idx="60">
                  <c:v>0.13938463568443632</c:v>
                </c:pt>
                <c:pt idx="61">
                  <c:v>0.15394006795549389</c:v>
                </c:pt>
                <c:pt idx="62">
                  <c:v>0.15719843260077523</c:v>
                </c:pt>
                <c:pt idx="63">
                  <c:v>0.15125820371877904</c:v>
                </c:pt>
              </c:numCache>
            </c:numRef>
          </c:val>
          <c:extLst>
            <c:ext xmlns:c16="http://schemas.microsoft.com/office/drawing/2014/chart" uri="{C3380CC4-5D6E-409C-BE32-E72D297353CC}">
              <c16:uniqueId val="{00000002-718A-40B7-8CC8-6ECB8A18DA9A}"/>
            </c:ext>
          </c:extLst>
        </c:ser>
        <c:ser>
          <c:idx val="3"/>
          <c:order val="3"/>
          <c:tx>
            <c:strRef>
              <c:f>'Ch4. Applications technology'!$B$11</c:f>
              <c:strCache>
                <c:ptCount val="1"/>
                <c:pt idx="0">
                  <c:v>Mechanical engineering</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technology'!$Q$46:$CB$47</c:f>
              <c:multiLvlStrCache>
                <c:ptCount val="64"/>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2">
                    <c:v>2011</c:v>
                  </c:pt>
                  <c:pt idx="53">
                    <c:v>2012</c:v>
                  </c:pt>
                  <c:pt idx="54">
                    <c:v>2013</c:v>
                  </c:pt>
                  <c:pt idx="55">
                    <c:v>2014</c:v>
                  </c:pt>
                  <c:pt idx="56">
                    <c:v>2015</c:v>
                  </c:pt>
                  <c:pt idx="57">
                    <c:v>2016</c:v>
                  </c:pt>
                  <c:pt idx="58">
                    <c:v>2017</c:v>
                  </c:pt>
                  <c:pt idx="59">
                    <c:v>2018</c:v>
                  </c:pt>
                  <c:pt idx="60">
                    <c:v>2019</c:v>
                  </c:pt>
                  <c:pt idx="61">
                    <c:v>2020</c:v>
                  </c:pt>
                  <c:pt idx="62">
                    <c:v>2021</c:v>
                  </c:pt>
                  <c:pt idx="63">
                    <c:v>2022</c:v>
                  </c:pt>
                </c:lvl>
                <c:lvl>
                  <c:pt idx="0">
                    <c:v>EPO</c:v>
                  </c:pt>
                  <c:pt idx="13">
                    <c:v>JPO</c:v>
                  </c:pt>
                  <c:pt idx="26">
                    <c:v>KIPO</c:v>
                  </c:pt>
                  <c:pt idx="39">
                    <c:v>CNIPA</c:v>
                  </c:pt>
                  <c:pt idx="52">
                    <c:v>USPTO</c:v>
                  </c:pt>
                </c:lvl>
              </c:multiLvlStrCache>
            </c:multiLvlStrRef>
          </c:cat>
          <c:val>
            <c:numRef>
              <c:f>'Ch4. Applications technology'!$Q$51:$CB$51</c:f>
              <c:numCache>
                <c:formatCode>0%</c:formatCode>
                <c:ptCount val="64"/>
                <c:pt idx="0">
                  <c:v>0.21696629783410507</c:v>
                </c:pt>
                <c:pt idx="1">
                  <c:v>0.22342501847179044</c:v>
                </c:pt>
                <c:pt idx="2">
                  <c:v>0.22439234626514432</c:v>
                </c:pt>
                <c:pt idx="3">
                  <c:v>0.22203407629098737</c:v>
                </c:pt>
                <c:pt idx="4">
                  <c:v>0.22556522828333439</c:v>
                </c:pt>
                <c:pt idx="5">
                  <c:v>0.23307267911851484</c:v>
                </c:pt>
                <c:pt idx="6">
                  <c:v>0.2227252095500348</c:v>
                </c:pt>
                <c:pt idx="7">
                  <c:v>0.22187516119233613</c:v>
                </c:pt>
                <c:pt idx="8">
                  <c:v>0.21647575052644344</c:v>
                </c:pt>
                <c:pt idx="9">
                  <c:v>0.20330664771654766</c:v>
                </c:pt>
                <c:pt idx="10">
                  <c:v>0.19748383566301675</c:v>
                </c:pt>
                <c:pt idx="11">
                  <c:v>0.18935797504042456</c:v>
                </c:pt>
                <c:pt idx="13">
                  <c:v>0.22780708466794428</c:v>
                </c:pt>
                <c:pt idx="14">
                  <c:v>0.22329597418358724</c:v>
                </c:pt>
                <c:pt idx="15">
                  <c:v>0.23073490321370596</c:v>
                </c:pt>
                <c:pt idx="16">
                  <c:v>0.22205840152782039</c:v>
                </c:pt>
                <c:pt idx="17">
                  <c:v>0.22265240439227565</c:v>
                </c:pt>
                <c:pt idx="18">
                  <c:v>0.22386588394386134</c:v>
                </c:pt>
                <c:pt idx="19">
                  <c:v>0.22549693297945442</c:v>
                </c:pt>
                <c:pt idx="20">
                  <c:v>0.22359858376455888</c:v>
                </c:pt>
                <c:pt idx="21">
                  <c:v>0.21759933846600135</c:v>
                </c:pt>
                <c:pt idx="22">
                  <c:v>0.20206000083683176</c:v>
                </c:pt>
                <c:pt idx="23">
                  <c:v>0.19565028303429463</c:v>
                </c:pt>
                <c:pt idx="24">
                  <c:v>0.19565028303429463</c:v>
                </c:pt>
                <c:pt idx="26">
                  <c:v>0.20627815574147285</c:v>
                </c:pt>
                <c:pt idx="27">
                  <c:v>0.21127449902113901</c:v>
                </c:pt>
                <c:pt idx="28">
                  <c:v>0.21554050277200454</c:v>
                </c:pt>
                <c:pt idx="29">
                  <c:v>0.21645115938298251</c:v>
                </c:pt>
                <c:pt idx="30">
                  <c:v>0.21001387458726728</c:v>
                </c:pt>
                <c:pt idx="31">
                  <c:v>0.20863703622513291</c:v>
                </c:pt>
                <c:pt idx="32">
                  <c:v>0.20949582949999745</c:v>
                </c:pt>
                <c:pt idx="33">
                  <c:v>0.1970741742542573</c:v>
                </c:pt>
                <c:pt idx="34">
                  <c:v>0.1941500171252426</c:v>
                </c:pt>
                <c:pt idx="35">
                  <c:v>0.1931280433440779</c:v>
                </c:pt>
                <c:pt idx="36">
                  <c:v>0.18345992365585342</c:v>
                </c:pt>
                <c:pt idx="37">
                  <c:v>0.17415120710459836</c:v>
                </c:pt>
                <c:pt idx="39">
                  <c:v>0.21012374052202618</c:v>
                </c:pt>
                <c:pt idx="40">
                  <c:v>0.23582601995433505</c:v>
                </c:pt>
                <c:pt idx="41">
                  <c:v>0.22859836699289096</c:v>
                </c:pt>
                <c:pt idx="42">
                  <c:v>0.22127245678791821</c:v>
                </c:pt>
                <c:pt idx="43">
                  <c:v>0.23622569677497443</c:v>
                </c:pt>
                <c:pt idx="44">
                  <c:v>0.23891523159266576</c:v>
                </c:pt>
                <c:pt idx="45">
                  <c:v>0.24040395211717963</c:v>
                </c:pt>
                <c:pt idx="46">
                  <c:v>0.26018021164909011</c:v>
                </c:pt>
                <c:pt idx="47">
                  <c:v>0.23407967571066032</c:v>
                </c:pt>
                <c:pt idx="48">
                  <c:v>0.23572423741082263</c:v>
                </c:pt>
                <c:pt idx="49">
                  <c:v>0.22250299422650127</c:v>
                </c:pt>
                <c:pt idx="50">
                  <c:v>0.19818824731581985</c:v>
                </c:pt>
                <c:pt idx="52">
                  <c:v>0.13940820429949763</c:v>
                </c:pt>
                <c:pt idx="53">
                  <c:v>0.13520891949448943</c:v>
                </c:pt>
                <c:pt idx="54">
                  <c:v>0.13295350466030925</c:v>
                </c:pt>
                <c:pt idx="55">
                  <c:v>0.14047998875300946</c:v>
                </c:pt>
                <c:pt idx="56">
                  <c:v>0.14428552984550058</c:v>
                </c:pt>
                <c:pt idx="57">
                  <c:v>0.14929198092717541</c:v>
                </c:pt>
                <c:pt idx="58">
                  <c:v>0.15162847986182909</c:v>
                </c:pt>
                <c:pt idx="59">
                  <c:v>0.14853443324106033</c:v>
                </c:pt>
                <c:pt idx="60">
                  <c:v>0.14069125098760485</c:v>
                </c:pt>
                <c:pt idx="61">
                  <c:v>0.14620078971510966</c:v>
                </c:pt>
                <c:pt idx="62">
                  <c:v>0.14415558306616302</c:v>
                </c:pt>
                <c:pt idx="63">
                  <c:v>0.14376049103444302</c:v>
                </c:pt>
              </c:numCache>
            </c:numRef>
          </c:val>
          <c:extLst>
            <c:ext xmlns:c16="http://schemas.microsoft.com/office/drawing/2014/chart" uri="{C3380CC4-5D6E-409C-BE32-E72D297353CC}">
              <c16:uniqueId val="{00000003-718A-40B7-8CC8-6ECB8A18DA9A}"/>
            </c:ext>
          </c:extLst>
        </c:ser>
        <c:ser>
          <c:idx val="4"/>
          <c:order val="4"/>
          <c:tx>
            <c:strRef>
              <c:f>'Ch4. Applications technology'!$B$12</c:f>
              <c:strCache>
                <c:ptCount val="1"/>
                <c:pt idx="0">
                  <c:v>other field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technology'!$Q$46:$CB$47</c:f>
              <c:multiLvlStrCache>
                <c:ptCount val="64"/>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2">
                    <c:v>2011</c:v>
                  </c:pt>
                  <c:pt idx="53">
                    <c:v>2012</c:v>
                  </c:pt>
                  <c:pt idx="54">
                    <c:v>2013</c:v>
                  </c:pt>
                  <c:pt idx="55">
                    <c:v>2014</c:v>
                  </c:pt>
                  <c:pt idx="56">
                    <c:v>2015</c:v>
                  </c:pt>
                  <c:pt idx="57">
                    <c:v>2016</c:v>
                  </c:pt>
                  <c:pt idx="58">
                    <c:v>2017</c:v>
                  </c:pt>
                  <c:pt idx="59">
                    <c:v>2018</c:v>
                  </c:pt>
                  <c:pt idx="60">
                    <c:v>2019</c:v>
                  </c:pt>
                  <c:pt idx="61">
                    <c:v>2020</c:v>
                  </c:pt>
                  <c:pt idx="62">
                    <c:v>2021</c:v>
                  </c:pt>
                  <c:pt idx="63">
                    <c:v>2022</c:v>
                  </c:pt>
                </c:lvl>
                <c:lvl>
                  <c:pt idx="0">
                    <c:v>EPO</c:v>
                  </c:pt>
                  <c:pt idx="13">
                    <c:v>JPO</c:v>
                  </c:pt>
                  <c:pt idx="26">
                    <c:v>KIPO</c:v>
                  </c:pt>
                  <c:pt idx="39">
                    <c:v>CNIPA</c:v>
                  </c:pt>
                  <c:pt idx="52">
                    <c:v>USPTO</c:v>
                  </c:pt>
                </c:lvl>
              </c:multiLvlStrCache>
            </c:multiLvlStrRef>
          </c:cat>
          <c:val>
            <c:numRef>
              <c:f>'Ch4. Applications technology'!$Q$52:$CB$52</c:f>
              <c:numCache>
                <c:formatCode>0%</c:formatCode>
                <c:ptCount val="64"/>
                <c:pt idx="0">
                  <c:v>7.161438519452476E-2</c:v>
                </c:pt>
                <c:pt idx="1">
                  <c:v>6.7662516903430878E-2</c:v>
                </c:pt>
                <c:pt idx="2">
                  <c:v>7.0613023936734229E-2</c:v>
                </c:pt>
                <c:pt idx="3">
                  <c:v>6.9799952744742849E-2</c:v>
                </c:pt>
                <c:pt idx="4">
                  <c:v>7.0044466712594733E-2</c:v>
                </c:pt>
                <c:pt idx="5">
                  <c:v>6.8659214011160111E-2</c:v>
                </c:pt>
                <c:pt idx="6">
                  <c:v>7.0287771961146245E-2</c:v>
                </c:pt>
                <c:pt idx="7">
                  <c:v>7.4707274717591032E-2</c:v>
                </c:pt>
                <c:pt idx="8">
                  <c:v>7.2864183103094712E-2</c:v>
                </c:pt>
                <c:pt idx="9">
                  <c:v>6.9241958228311917E-2</c:v>
                </c:pt>
                <c:pt idx="10">
                  <c:v>6.9183893573048993E-2</c:v>
                </c:pt>
                <c:pt idx="11">
                  <c:v>6.3881172519590371E-2</c:v>
                </c:pt>
                <c:pt idx="13">
                  <c:v>8.5534736000975137E-2</c:v>
                </c:pt>
                <c:pt idx="14">
                  <c:v>8.7930201099562191E-2</c:v>
                </c:pt>
                <c:pt idx="15">
                  <c:v>8.8022817376907106E-2</c:v>
                </c:pt>
                <c:pt idx="16">
                  <c:v>9.784713220330038E-2</c:v>
                </c:pt>
                <c:pt idx="17">
                  <c:v>0.10585005679666792</c:v>
                </c:pt>
                <c:pt idx="18">
                  <c:v>0.11219834313843198</c:v>
                </c:pt>
                <c:pt idx="19">
                  <c:v>0.11211804088940444</c:v>
                </c:pt>
                <c:pt idx="20">
                  <c:v>0.1095019144811676</c:v>
                </c:pt>
                <c:pt idx="21">
                  <c:v>0.11541834356421447</c:v>
                </c:pt>
                <c:pt idx="22">
                  <c:v>0.11912648711976458</c:v>
                </c:pt>
                <c:pt idx="23">
                  <c:v>0.10946312204049112</c:v>
                </c:pt>
                <c:pt idx="24">
                  <c:v>0.10946312204049112</c:v>
                </c:pt>
                <c:pt idx="26">
                  <c:v>0.10175714811069228</c:v>
                </c:pt>
                <c:pt idx="27">
                  <c:v>0.10497459360770771</c:v>
                </c:pt>
                <c:pt idx="28">
                  <c:v>0.10505668507894242</c:v>
                </c:pt>
                <c:pt idx="29">
                  <c:v>0.10019603572206491</c:v>
                </c:pt>
                <c:pt idx="30">
                  <c:v>0.10656359830410968</c:v>
                </c:pt>
                <c:pt idx="31">
                  <c:v>0.10916364832077004</c:v>
                </c:pt>
                <c:pt idx="32">
                  <c:v>0.11117775326701874</c:v>
                </c:pt>
                <c:pt idx="33">
                  <c:v>0.14203874433311744</c:v>
                </c:pt>
                <c:pt idx="34">
                  <c:v>0.14091562963808654</c:v>
                </c:pt>
                <c:pt idx="35">
                  <c:v>0.11459204901355645</c:v>
                </c:pt>
                <c:pt idx="36">
                  <c:v>0.10235401673331976</c:v>
                </c:pt>
                <c:pt idx="37">
                  <c:v>9.053935569001588E-2</c:v>
                </c:pt>
                <c:pt idx="39">
                  <c:v>7.8334982319613472E-2</c:v>
                </c:pt>
                <c:pt idx="40">
                  <c:v>8.8014084746434906E-2</c:v>
                </c:pt>
                <c:pt idx="41">
                  <c:v>8.7273481548528223E-2</c:v>
                </c:pt>
                <c:pt idx="42">
                  <c:v>8.1472229139748081E-2</c:v>
                </c:pt>
                <c:pt idx="43">
                  <c:v>8.3024327982130872E-2</c:v>
                </c:pt>
                <c:pt idx="44">
                  <c:v>9.7744522675671908E-2</c:v>
                </c:pt>
                <c:pt idx="45">
                  <c:v>0.11881407349947376</c:v>
                </c:pt>
                <c:pt idx="46">
                  <c:v>9.7651837760430488E-2</c:v>
                </c:pt>
                <c:pt idx="47">
                  <c:v>8.1976393643656428E-2</c:v>
                </c:pt>
                <c:pt idx="48">
                  <c:v>8.5716591995348437E-2</c:v>
                </c:pt>
                <c:pt idx="49">
                  <c:v>8.2997673181798806E-2</c:v>
                </c:pt>
                <c:pt idx="50">
                  <c:v>8.2580733694287103E-2</c:v>
                </c:pt>
                <c:pt idx="52">
                  <c:v>5.8997720683505644E-2</c:v>
                </c:pt>
                <c:pt idx="53">
                  <c:v>5.6667858419735428E-2</c:v>
                </c:pt>
                <c:pt idx="54">
                  <c:v>5.6441309350635356E-2</c:v>
                </c:pt>
                <c:pt idx="55">
                  <c:v>6.0356896689752935E-2</c:v>
                </c:pt>
                <c:pt idx="56">
                  <c:v>6.0722073189975467E-2</c:v>
                </c:pt>
                <c:pt idx="57">
                  <c:v>6.0192103528606718E-2</c:v>
                </c:pt>
                <c:pt idx="58">
                  <c:v>6.1235934761030709E-2</c:v>
                </c:pt>
                <c:pt idx="59">
                  <c:v>9.2333301515052563E-2</c:v>
                </c:pt>
                <c:pt idx="60">
                  <c:v>0.11373989666153353</c:v>
                </c:pt>
                <c:pt idx="61">
                  <c:v>6.0356547075054508E-2</c:v>
                </c:pt>
                <c:pt idx="62">
                  <c:v>6.0355803856422842E-2</c:v>
                </c:pt>
                <c:pt idx="63">
                  <c:v>5.7951933952409426E-2</c:v>
                </c:pt>
              </c:numCache>
            </c:numRef>
          </c:val>
          <c:extLst>
            <c:ext xmlns:c16="http://schemas.microsoft.com/office/drawing/2014/chart" uri="{C3380CC4-5D6E-409C-BE32-E72D297353CC}">
              <c16:uniqueId val="{00000004-718A-40B7-8CC8-6ECB8A18DA9A}"/>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1"/>
          <c:min val="0"/>
        </c:scaling>
        <c:delete val="1"/>
        <c:axPos val="l"/>
        <c:numFmt formatCode="0%" sourceLinked="1"/>
        <c:majorTickMark val="out"/>
        <c:minorTickMark val="none"/>
        <c:tickLblPos val="nextTo"/>
        <c:crossAx val="621250136"/>
        <c:crosses val="autoZero"/>
        <c:crossBetween val="between"/>
      </c:valAx>
      <c:spPr>
        <a:noFill/>
        <a:ln>
          <a:noFill/>
        </a:ln>
        <a:effectLst/>
      </c:spPr>
    </c:plotArea>
    <c:legend>
      <c:legendPos val="t"/>
      <c:layout>
        <c:manualLayout>
          <c:xMode val="edge"/>
          <c:yMode val="edge"/>
          <c:x val="0.20828686884491152"/>
          <c:y val="1.7314285714285723E-2"/>
          <c:w val="0.32038635107388336"/>
          <c:h val="3.905436820397450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EPO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Applications leading Tech'!$Z$150</c:f>
              <c:strCache>
                <c:ptCount val="1"/>
                <c:pt idx="0">
                  <c:v>Biotechnology</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25-4FD0-BA33-623637410C6E}"/>
                </c:ext>
              </c:extLst>
            </c:dLbl>
            <c:dLbl>
              <c:idx val="9"/>
              <c:layout>
                <c:manualLayout>
                  <c:x val="9.1717851727620953E-2"/>
                  <c:y val="-3.716609410396497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Tech'!$AA$150:$AK$150</c:f>
              <c:numCache>
                <c:formatCode>General</c:formatCode>
                <c:ptCount val="11"/>
                <c:pt idx="0">
                  <c:v>10</c:v>
                </c:pt>
                <c:pt idx="1">
                  <c:v>10</c:v>
                </c:pt>
                <c:pt idx="2">
                  <c:v>8</c:v>
                </c:pt>
                <c:pt idx="3">
                  <c:v>9</c:v>
                </c:pt>
                <c:pt idx="4">
                  <c:v>10</c:v>
                </c:pt>
                <c:pt idx="5">
                  <c:v>9</c:v>
                </c:pt>
                <c:pt idx="6">
                  <c:v>8</c:v>
                </c:pt>
                <c:pt idx="7">
                  <c:v>8</c:v>
                </c:pt>
                <c:pt idx="8">
                  <c:v>8</c:v>
                </c:pt>
                <c:pt idx="9">
                  <c:v>8</c:v>
                </c:pt>
                <c:pt idx="10">
                  <c:v>8</c:v>
                </c:pt>
              </c:numCache>
            </c:numRef>
          </c:val>
          <c:smooth val="0"/>
          <c:extLst>
            <c:ext xmlns:c16="http://schemas.microsoft.com/office/drawing/2014/chart" uri="{C3380CC4-5D6E-409C-BE32-E72D297353CC}">
              <c16:uniqueId val="{00000002-8925-4FD0-BA33-623637410C6E}"/>
            </c:ext>
          </c:extLst>
        </c:ser>
        <c:ser>
          <c:idx val="1"/>
          <c:order val="1"/>
          <c:tx>
            <c:strRef>
              <c:f>'Ch4. Applications leading Tech'!$Z$151</c:f>
              <c:strCache>
                <c:ptCount val="1"/>
                <c:pt idx="0">
                  <c:v>Organic fine chemistry</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25-4FD0-BA33-623637410C6E}"/>
                </c:ext>
              </c:extLst>
            </c:dLbl>
            <c:dLbl>
              <c:idx val="9"/>
              <c:layout>
                <c:manualLayout>
                  <c:x val="9.1717851727620953E-2"/>
                  <c:y val="-7.4330724975878622E-3"/>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653275335086936"/>
                      <c:h val="0.10644369351375568"/>
                    </c:manualLayout>
                  </c15:layout>
                </c:ext>
                <c:ext xmlns:c16="http://schemas.microsoft.com/office/drawing/2014/chart" uri="{C3380CC4-5D6E-409C-BE32-E72D297353CC}">
                  <c16:uniqueId val="{00000004-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Tech'!$AA$151:$AK$151</c:f>
              <c:numCache>
                <c:formatCode>General</c:formatCode>
                <c:ptCount val="11"/>
                <c:pt idx="0">
                  <c:v>7</c:v>
                </c:pt>
                <c:pt idx="1">
                  <c:v>7</c:v>
                </c:pt>
                <c:pt idx="2">
                  <c:v>7</c:v>
                </c:pt>
                <c:pt idx="3">
                  <c:v>7</c:v>
                </c:pt>
                <c:pt idx="4">
                  <c:v>8</c:v>
                </c:pt>
                <c:pt idx="5">
                  <c:v>7</c:v>
                </c:pt>
                <c:pt idx="6">
                  <c:v>10</c:v>
                </c:pt>
                <c:pt idx="7">
                  <c:v>10</c:v>
                </c:pt>
                <c:pt idx="8">
                  <c:v>10</c:v>
                </c:pt>
                <c:pt idx="9">
                  <c:v>10</c:v>
                </c:pt>
                <c:pt idx="10">
                  <c:v>10</c:v>
                </c:pt>
              </c:numCache>
            </c:numRef>
          </c:val>
          <c:smooth val="0"/>
          <c:extLst>
            <c:ext xmlns:c16="http://schemas.microsoft.com/office/drawing/2014/chart" uri="{C3380CC4-5D6E-409C-BE32-E72D297353CC}">
              <c16:uniqueId val="{00000005-8925-4FD0-BA33-623637410C6E}"/>
            </c:ext>
          </c:extLst>
        </c:ser>
        <c:ser>
          <c:idx val="2"/>
          <c:order val="2"/>
          <c:tx>
            <c:strRef>
              <c:f>'Ch4. Applications leading Tech'!$Z$152</c:f>
              <c:strCache>
                <c:ptCount val="1"/>
                <c:pt idx="0">
                  <c:v>Pharmaceuticals</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25-4FD0-BA33-623637410C6E}"/>
                </c:ext>
              </c:extLst>
            </c:dLbl>
            <c:dLbl>
              <c:idx val="9"/>
              <c:layout>
                <c:manualLayout>
                  <c:x val="9.1717851727620953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Tech'!$AA$152:$AK$152</c:f>
              <c:numCache>
                <c:formatCode>General</c:formatCode>
                <c:ptCount val="11"/>
                <c:pt idx="0">
                  <c:v>8</c:v>
                </c:pt>
                <c:pt idx="1">
                  <c:v>9</c:v>
                </c:pt>
                <c:pt idx="2">
                  <c:v>10</c:v>
                </c:pt>
                <c:pt idx="3">
                  <c:v>10</c:v>
                </c:pt>
                <c:pt idx="4">
                  <c:v>9</c:v>
                </c:pt>
                <c:pt idx="5">
                  <c:v>8</c:v>
                </c:pt>
                <c:pt idx="6">
                  <c:v>7</c:v>
                </c:pt>
                <c:pt idx="7">
                  <c:v>7</c:v>
                </c:pt>
                <c:pt idx="8">
                  <c:v>7</c:v>
                </c:pt>
                <c:pt idx="9">
                  <c:v>7</c:v>
                </c:pt>
                <c:pt idx="10">
                  <c:v>7</c:v>
                </c:pt>
              </c:numCache>
            </c:numRef>
          </c:val>
          <c:smooth val="0"/>
          <c:extLst>
            <c:ext xmlns:c16="http://schemas.microsoft.com/office/drawing/2014/chart" uri="{C3380CC4-5D6E-409C-BE32-E72D297353CC}">
              <c16:uniqueId val="{00000008-8925-4FD0-BA33-623637410C6E}"/>
            </c:ext>
          </c:extLst>
        </c:ser>
        <c:ser>
          <c:idx val="3"/>
          <c:order val="3"/>
          <c:tx>
            <c:strRef>
              <c:f>'Ch4. Applications leading Tech'!$Z$153</c:f>
              <c:strCache>
                <c:ptCount val="1"/>
                <c:pt idx="0">
                  <c:v>Measurement</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925-4FD0-BA33-623637410C6E}"/>
                </c:ext>
              </c:extLst>
            </c:dLbl>
            <c:dLbl>
              <c:idx val="9"/>
              <c:layout>
                <c:manualLayout>
                  <c:x val="9.380234835779401E-2"/>
                  <c:y val="-3.7166094103965662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Tech'!$AA$153:$AK$153</c:f>
              <c:numCache>
                <c:formatCode>General</c:formatCode>
                <c:ptCount val="11"/>
                <c:pt idx="0">
                  <c:v>6</c:v>
                </c:pt>
                <c:pt idx="1">
                  <c:v>6</c:v>
                </c:pt>
                <c:pt idx="2">
                  <c:v>6</c:v>
                </c:pt>
                <c:pt idx="3">
                  <c:v>6</c:v>
                </c:pt>
                <c:pt idx="4">
                  <c:v>6</c:v>
                </c:pt>
                <c:pt idx="5">
                  <c:v>6</c:v>
                </c:pt>
                <c:pt idx="6">
                  <c:v>6</c:v>
                </c:pt>
                <c:pt idx="7">
                  <c:v>6</c:v>
                </c:pt>
                <c:pt idx="8">
                  <c:v>6</c:v>
                </c:pt>
                <c:pt idx="9">
                  <c:v>6</c:v>
                </c:pt>
                <c:pt idx="10">
                  <c:v>6</c:v>
                </c:pt>
              </c:numCache>
            </c:numRef>
          </c:val>
          <c:smooth val="0"/>
          <c:extLst>
            <c:ext xmlns:c16="http://schemas.microsoft.com/office/drawing/2014/chart" uri="{C3380CC4-5D6E-409C-BE32-E72D297353CC}">
              <c16:uniqueId val="{0000000B-8925-4FD0-BA33-623637410C6E}"/>
            </c:ext>
          </c:extLst>
        </c:ser>
        <c:ser>
          <c:idx val="4"/>
          <c:order val="4"/>
          <c:tx>
            <c:strRef>
              <c:f>'Ch4. Applications leading Tech'!$Z$154</c:f>
              <c:strCache>
                <c:ptCount val="1"/>
                <c:pt idx="0">
                  <c:v>Other special machines</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925-4FD0-BA33-623637410C6E}"/>
                </c:ext>
              </c:extLst>
            </c:dLbl>
            <c:dLbl>
              <c:idx val="9"/>
              <c:layout>
                <c:manualLayout>
                  <c:x val="9.1717851727620953E-2"/>
                  <c:y val="3.716609410396497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Tech'!$AA$154:$AK$154</c:f>
              <c:numCache>
                <c:formatCode>General</c:formatCode>
                <c:ptCount val="11"/>
                <c:pt idx="0">
                  <c:v>11</c:v>
                </c:pt>
                <c:pt idx="1">
                  <c:v>11</c:v>
                </c:pt>
                <c:pt idx="2">
                  <c:v>11</c:v>
                </c:pt>
                <c:pt idx="3">
                  <c:v>11</c:v>
                </c:pt>
                <c:pt idx="4">
                  <c:v>11</c:v>
                </c:pt>
                <c:pt idx="5">
                  <c:v>10</c:v>
                </c:pt>
                <c:pt idx="6">
                  <c:v>9</c:v>
                </c:pt>
                <c:pt idx="7">
                  <c:v>9</c:v>
                </c:pt>
                <c:pt idx="8">
                  <c:v>9</c:v>
                </c:pt>
                <c:pt idx="9">
                  <c:v>9</c:v>
                </c:pt>
                <c:pt idx="10">
                  <c:v>#N/A</c:v>
                </c:pt>
              </c:numCache>
            </c:numRef>
          </c:val>
          <c:smooth val="0"/>
          <c:extLst>
            <c:ext xmlns:c16="http://schemas.microsoft.com/office/drawing/2014/chart" uri="{C3380CC4-5D6E-409C-BE32-E72D297353CC}">
              <c16:uniqueId val="{0000000E-8925-4FD0-BA33-623637410C6E}"/>
            </c:ext>
          </c:extLst>
        </c:ser>
        <c:ser>
          <c:idx val="5"/>
          <c:order val="5"/>
          <c:tx>
            <c:strRef>
              <c:f>'Ch4. Applications leading Tech'!$Z$155</c:f>
              <c:strCache>
                <c:ptCount val="1"/>
                <c:pt idx="0">
                  <c:v>Transport</c:v>
                </c:pt>
              </c:strCache>
            </c:strRef>
          </c:tx>
          <c:spPr>
            <a:ln w="38100" cap="rnd">
              <a:solidFill>
                <a:schemeClr val="accent6"/>
              </a:solidFill>
              <a:round/>
            </a:ln>
            <a:effectLst/>
          </c:spPr>
          <c:marker>
            <c:symbol val="none"/>
          </c:marker>
          <c:dLbls>
            <c:dLbl>
              <c:idx val="9"/>
              <c:layout>
                <c:manualLayout>
                  <c:x val="8.9960637481744238E-2"/>
                  <c:y val="-1.1149974554394627E-2"/>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173841110147099"/>
                      <c:h val="0.10644369351375568"/>
                    </c:manualLayout>
                  </c15:layout>
                </c:ext>
                <c:ext xmlns:c16="http://schemas.microsoft.com/office/drawing/2014/chart" uri="{C3380CC4-5D6E-409C-BE32-E72D297353CC}">
                  <c16:uniqueId val="{00000010-8925-4FD0-BA33-623637410C6E}"/>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Tech'!$AA$155:$AK$155</c:f>
              <c:numCache>
                <c:formatCode>General</c:formatCode>
                <c:ptCount val="11"/>
                <c:pt idx="0">
                  <c:v>5</c:v>
                </c:pt>
                <c:pt idx="1">
                  <c:v>5</c:v>
                </c:pt>
                <c:pt idx="2">
                  <c:v>5</c:v>
                </c:pt>
                <c:pt idx="3">
                  <c:v>5</c:v>
                </c:pt>
                <c:pt idx="4">
                  <c:v>5</c:v>
                </c:pt>
                <c:pt idx="5">
                  <c:v>5</c:v>
                </c:pt>
                <c:pt idx="6">
                  <c:v>5</c:v>
                </c:pt>
                <c:pt idx="7">
                  <c:v>5</c:v>
                </c:pt>
                <c:pt idx="8">
                  <c:v>5</c:v>
                </c:pt>
                <c:pt idx="9">
                  <c:v>5</c:v>
                </c:pt>
                <c:pt idx="10">
                  <c:v>9</c:v>
                </c:pt>
              </c:numCache>
            </c:numRef>
          </c:val>
          <c:smooth val="0"/>
          <c:extLst>
            <c:ext xmlns:c16="http://schemas.microsoft.com/office/drawing/2014/chart" uri="{C3380CC4-5D6E-409C-BE32-E72D297353CC}">
              <c16:uniqueId val="{00000011-8925-4FD0-BA33-623637410C6E}"/>
            </c:ext>
          </c:extLst>
        </c:ser>
        <c:ser>
          <c:idx val="6"/>
          <c:order val="6"/>
          <c:tx>
            <c:strRef>
              <c:f>'Ch4. Applications leading Tech'!$Z$156</c:f>
              <c:strCache>
                <c:ptCount val="1"/>
                <c:pt idx="0">
                  <c:v>Engines, pumps, turbines</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925-4FD0-BA33-623637410C6E}"/>
                </c:ext>
              </c:extLst>
            </c:dLbl>
            <c:dLbl>
              <c:idx val="9"/>
              <c:layout>
                <c:manualLayout>
                  <c:x val="9.1717851727620953E-2"/>
                  <c:y val="0"/>
                </c:manualLayout>
              </c:layout>
              <c:spPr>
                <a:noFill/>
                <a:ln>
                  <a:noFill/>
                </a:ln>
                <a:effectLst/>
              </c:spPr>
              <c:txPr>
                <a:bodyPr rot="0" spcFirstLastPara="1" vertOverflow="ellipsis" vert="horz" wrap="square" anchor="ctr" anchorCtr="0"/>
                <a:lstStyle/>
                <a:p>
                  <a:pPr algn="l">
                    <a:defRPr sz="1000" b="0" i="1"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457332651850656"/>
                      <c:h val="0.10187226393896801"/>
                    </c:manualLayout>
                  </c15:layout>
                </c:ext>
                <c:ext xmlns:c16="http://schemas.microsoft.com/office/drawing/2014/chart" uri="{C3380CC4-5D6E-409C-BE32-E72D297353CC}">
                  <c16:uniqueId val="{00000013-8925-4FD0-BA33-623637410C6E}"/>
                </c:ext>
              </c:extLst>
            </c:dLbl>
            <c:spPr>
              <a:noFill/>
              <a:ln>
                <a:noFill/>
              </a:ln>
              <a:effectLst/>
            </c:spPr>
            <c:txPr>
              <a:bodyPr rot="0" spcFirstLastPara="1" vertOverflow="ellipsis" vert="horz" wrap="square" anchor="ctr" anchorCtr="1"/>
              <a:lstStyle/>
              <a:p>
                <a:pPr>
                  <a:defRPr sz="1000" b="0" i="1"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Tech'!$AA$156:$AK$156</c:f>
              <c:numCache>
                <c:formatCode>General</c:formatCode>
                <c:ptCount val="11"/>
                <c:pt idx="0">
                  <c:v>9</c:v>
                </c:pt>
                <c:pt idx="1">
                  <c:v>8</c:v>
                </c:pt>
                <c:pt idx="2">
                  <c:v>9</c:v>
                </c:pt>
                <c:pt idx="3">
                  <c:v>8</c:v>
                </c:pt>
                <c:pt idx="4">
                  <c:v>7</c:v>
                </c:pt>
                <c:pt idx="5">
                  <c:v>11</c:v>
                </c:pt>
                <c:pt idx="6">
                  <c:v>11</c:v>
                </c:pt>
                <c:pt idx="7">
                  <c:v>11</c:v>
                </c:pt>
                <c:pt idx="8">
                  <c:v>11</c:v>
                </c:pt>
                <c:pt idx="9">
                  <c:v>11</c:v>
                </c:pt>
                <c:pt idx="10">
                  <c:v>11</c:v>
                </c:pt>
              </c:numCache>
            </c:numRef>
          </c:val>
          <c:smooth val="0"/>
          <c:extLst>
            <c:ext xmlns:c16="http://schemas.microsoft.com/office/drawing/2014/chart" uri="{C3380CC4-5D6E-409C-BE32-E72D297353CC}">
              <c16:uniqueId val="{00000014-8925-4FD0-BA33-623637410C6E}"/>
            </c:ext>
          </c:extLst>
        </c:ser>
        <c:ser>
          <c:idx val="7"/>
          <c:order val="7"/>
          <c:tx>
            <c:strRef>
              <c:f>'Ch4. Applications leading Tech'!$Z$157</c:f>
              <c:strCache>
                <c:ptCount val="1"/>
                <c:pt idx="0">
                  <c:v>Electrical machinery, apparatus, energy</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925-4FD0-BA33-623637410C6E}"/>
                </c:ext>
              </c:extLst>
            </c:dLbl>
            <c:dLbl>
              <c:idx val="9"/>
              <c:layout>
                <c:manualLayout>
                  <c:x val="8.9633355097447603E-2"/>
                  <c:y val="0"/>
                </c:manualLayout>
              </c:layout>
              <c:spPr>
                <a:noFill/>
                <a:ln>
                  <a:noFill/>
                </a:ln>
                <a:effectLst/>
              </c:spPr>
              <c:txPr>
                <a:bodyPr rot="0" spcFirstLastPara="1" vertOverflow="ellipsis" vert="horz" wrap="square" anchor="ctr" anchorCtr="0"/>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8925-4FD0-BA33-623637410C6E}"/>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Tech'!$AA$157:$AK$157</c:f>
              <c:numCache>
                <c:formatCode>General</c:formatCode>
                <c:ptCount val="11"/>
                <c:pt idx="0">
                  <c:v>2</c:v>
                </c:pt>
                <c:pt idx="1">
                  <c:v>2</c:v>
                </c:pt>
                <c:pt idx="2">
                  <c:v>3</c:v>
                </c:pt>
                <c:pt idx="3">
                  <c:v>4</c:v>
                </c:pt>
                <c:pt idx="4">
                  <c:v>4</c:v>
                </c:pt>
                <c:pt idx="5">
                  <c:v>4</c:v>
                </c:pt>
                <c:pt idx="6">
                  <c:v>4</c:v>
                </c:pt>
                <c:pt idx="7">
                  <c:v>4</c:v>
                </c:pt>
                <c:pt idx="8">
                  <c:v>4</c:v>
                </c:pt>
                <c:pt idx="9">
                  <c:v>4</c:v>
                </c:pt>
                <c:pt idx="10">
                  <c:v>4</c:v>
                </c:pt>
              </c:numCache>
            </c:numRef>
          </c:val>
          <c:smooth val="0"/>
          <c:extLst>
            <c:ext xmlns:c16="http://schemas.microsoft.com/office/drawing/2014/chart" uri="{C3380CC4-5D6E-409C-BE32-E72D297353CC}">
              <c16:uniqueId val="{00000017-8925-4FD0-BA33-623637410C6E}"/>
            </c:ext>
          </c:extLst>
        </c:ser>
        <c:ser>
          <c:idx val="8"/>
          <c:order val="8"/>
          <c:tx>
            <c:strRef>
              <c:f>'Ch4. Applications leading Tech'!$Z$158</c:f>
              <c:strCache>
                <c:ptCount val="1"/>
                <c:pt idx="0">
                  <c:v>Computer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925-4FD0-BA33-623637410C6E}"/>
                </c:ext>
              </c:extLst>
            </c:dLbl>
            <c:dLbl>
              <c:idx val="9"/>
              <c:layout>
                <c:manualLayout>
                  <c:x val="8.7548858467274393E-2"/>
                  <c:y val="-1.1149681907984359E-2"/>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831918337628709"/>
                      <c:h val="0.10644369351375568"/>
                    </c:manualLayout>
                  </c15:layout>
                </c:ext>
                <c:ext xmlns:c16="http://schemas.microsoft.com/office/drawing/2014/chart" uri="{C3380CC4-5D6E-409C-BE32-E72D297353CC}">
                  <c16:uniqueId val="{00000019-8925-4FD0-BA33-623637410C6E}"/>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Tech'!$AA$158:$AK$158</c:f>
              <c:numCache>
                <c:formatCode>General</c:formatCode>
                <c:ptCount val="11"/>
                <c:pt idx="0">
                  <c:v>4</c:v>
                </c:pt>
                <c:pt idx="1">
                  <c:v>4</c:v>
                </c:pt>
                <c:pt idx="2">
                  <c:v>4</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1A-8925-4FD0-BA33-623637410C6E}"/>
            </c:ext>
          </c:extLst>
        </c:ser>
        <c:ser>
          <c:idx val="9"/>
          <c:order val="9"/>
          <c:tx>
            <c:strRef>
              <c:f>'Ch4. Applications leading Tech'!$Z$159</c:f>
              <c:strCache>
                <c:ptCount val="1"/>
                <c:pt idx="0">
                  <c:v>Digital communication</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8925-4FD0-BA33-623637410C6E}"/>
                </c:ext>
              </c:extLst>
            </c:dLbl>
            <c:dLbl>
              <c:idx val="9"/>
              <c:layout>
                <c:manualLayout>
                  <c:x val="8.6506610152187802E-2"/>
                  <c:y val="1.4632320509965187E-7"/>
                </c:manualLayout>
              </c:layout>
              <c:showLegendKey val="0"/>
              <c:showVal val="0"/>
              <c:showCatName val="0"/>
              <c:showSerName val="1"/>
              <c:showPercent val="0"/>
              <c:showBubbleSize val="0"/>
              <c:extLst>
                <c:ext xmlns:c15="http://schemas.microsoft.com/office/drawing/2012/chart" uri="{CE6537A1-D6FC-4f65-9D91-7224C49458BB}">
                  <c15:layout>
                    <c:manualLayout>
                      <c:w val="0.22854421053219004"/>
                      <c:h val="0.10644369351375568"/>
                    </c:manualLayout>
                  </c15:layout>
                </c:ext>
                <c:ext xmlns:c16="http://schemas.microsoft.com/office/drawing/2014/chart" uri="{C3380CC4-5D6E-409C-BE32-E72D297353CC}">
                  <c16:uniqueId val="{0000001C-8925-4FD0-BA33-623637410C6E}"/>
                </c:ext>
              </c:extLst>
            </c:dLbl>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Tech'!$AA$159:$AK$159</c:f>
              <c:numCache>
                <c:formatCode>General</c:formatCode>
                <c:ptCount val="11"/>
                <c:pt idx="0">
                  <c:v>3</c:v>
                </c:pt>
                <c:pt idx="1">
                  <c:v>3</c:v>
                </c:pt>
                <c:pt idx="2">
                  <c:v>2</c:v>
                </c:pt>
                <c:pt idx="3">
                  <c:v>2</c:v>
                </c:pt>
                <c:pt idx="4">
                  <c:v>2</c:v>
                </c:pt>
                <c:pt idx="5">
                  <c:v>2</c:v>
                </c:pt>
                <c:pt idx="6">
                  <c:v>2</c:v>
                </c:pt>
                <c:pt idx="7">
                  <c:v>1</c:v>
                </c:pt>
                <c:pt idx="8">
                  <c:v>2</c:v>
                </c:pt>
                <c:pt idx="9">
                  <c:v>1</c:v>
                </c:pt>
                <c:pt idx="10">
                  <c:v>1</c:v>
                </c:pt>
              </c:numCache>
            </c:numRef>
          </c:val>
          <c:smooth val="0"/>
          <c:extLst>
            <c:ext xmlns:c16="http://schemas.microsoft.com/office/drawing/2014/chart" uri="{C3380CC4-5D6E-409C-BE32-E72D297353CC}">
              <c16:uniqueId val="{0000001D-8925-4FD0-BA33-623637410C6E}"/>
            </c:ext>
          </c:extLst>
        </c:ser>
        <c:ser>
          <c:idx val="10"/>
          <c:order val="10"/>
          <c:tx>
            <c:strRef>
              <c:f>'Ch4. Applications leading Tech'!$Z$160</c:f>
              <c:strCache>
                <c:ptCount val="1"/>
                <c:pt idx="0">
                  <c:v>Medical technology</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8925-4FD0-BA33-623637410C6E}"/>
                </c:ext>
              </c:extLst>
            </c:dLbl>
            <c:dLbl>
              <c:idx val="9"/>
              <c:layout>
                <c:manualLayout>
                  <c:x val="8.7548858467274546E-2"/>
                  <c:y val="3.4068526032781318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8925-4FD0-BA33-623637410C6E}"/>
                </c:ext>
              </c:extLst>
            </c:dLbl>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Tech'!$AA$149:$AK$149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Tech'!$AA$160:$AK$160</c:f>
              <c:numCache>
                <c:formatCode>General</c:formatCode>
                <c:ptCount val="11"/>
                <c:pt idx="0">
                  <c:v>1</c:v>
                </c:pt>
                <c:pt idx="1">
                  <c:v>1</c:v>
                </c:pt>
                <c:pt idx="2">
                  <c:v>1</c:v>
                </c:pt>
                <c:pt idx="3">
                  <c:v>1</c:v>
                </c:pt>
                <c:pt idx="4">
                  <c:v>1</c:v>
                </c:pt>
                <c:pt idx="5">
                  <c:v>1</c:v>
                </c:pt>
                <c:pt idx="6">
                  <c:v>1</c:v>
                </c:pt>
                <c:pt idx="7">
                  <c:v>2</c:v>
                </c:pt>
                <c:pt idx="8">
                  <c:v>1</c:v>
                </c:pt>
                <c:pt idx="9">
                  <c:v>2</c:v>
                </c:pt>
                <c:pt idx="10">
                  <c:v>2</c:v>
                </c:pt>
              </c:numCache>
            </c:numRef>
          </c:val>
          <c:smooth val="0"/>
          <c:extLst>
            <c:ext xmlns:c16="http://schemas.microsoft.com/office/drawing/2014/chart" uri="{C3380CC4-5D6E-409C-BE32-E72D297353CC}">
              <c16:uniqueId val="{00000020-8925-4FD0-BA33-623637410C6E}"/>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JPO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1297258675998829"/>
        </c:manualLayout>
      </c:layout>
      <c:lineChart>
        <c:grouping val="standard"/>
        <c:varyColors val="0"/>
        <c:ser>
          <c:idx val="0"/>
          <c:order val="0"/>
          <c:tx>
            <c:strRef>
              <c:f>'Ch4. Applications leading Tech'!$AP$150</c:f>
              <c:strCache>
                <c:ptCount val="1"/>
                <c:pt idx="0">
                  <c:v>Audio-visual technology</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7C-4045-9F8C-F4DB194685B9}"/>
                </c:ext>
              </c:extLst>
            </c:dLbl>
            <c:dLbl>
              <c:idx val="8"/>
              <c:layout>
                <c:manualLayout>
                  <c:x val="9.8453182516175797E-2"/>
                  <c:y val="-8.2205307669874605E-2"/>
                </c:manualLayout>
              </c:layout>
              <c:spPr>
                <a:no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693195157351226"/>
                      <c:h val="8.9689413823272085E-2"/>
                    </c:manualLayout>
                  </c15:layout>
                </c:ext>
                <c:ext xmlns:c16="http://schemas.microsoft.com/office/drawing/2014/chart" uri="{C3380CC4-5D6E-409C-BE32-E72D297353CC}">
                  <c16:uniqueId val="{0000000A-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Tech'!$AQ$150:$AZ$150</c:f>
              <c:numCache>
                <c:formatCode>General</c:formatCode>
                <c:ptCount val="10"/>
                <c:pt idx="0">
                  <c:v>5</c:v>
                </c:pt>
                <c:pt idx="1">
                  <c:v>5</c:v>
                </c:pt>
                <c:pt idx="2">
                  <c:v>9</c:v>
                </c:pt>
                <c:pt idx="3">
                  <c:v>9</c:v>
                </c:pt>
                <c:pt idx="4">
                  <c:v>8</c:v>
                </c:pt>
                <c:pt idx="5">
                  <c:v>9</c:v>
                </c:pt>
                <c:pt idx="6">
                  <c:v>9</c:v>
                </c:pt>
                <c:pt idx="7">
                  <c:v>10</c:v>
                </c:pt>
                <c:pt idx="8">
                  <c:v>10</c:v>
                </c:pt>
                <c:pt idx="9">
                  <c:v>9</c:v>
                </c:pt>
              </c:numCache>
            </c:numRef>
          </c:val>
          <c:smooth val="0"/>
          <c:extLst>
            <c:ext xmlns:c16="http://schemas.microsoft.com/office/drawing/2014/chart" uri="{C3380CC4-5D6E-409C-BE32-E72D297353CC}">
              <c16:uniqueId val="{00000002-A57C-4045-9F8C-F4DB194685B9}"/>
            </c:ext>
          </c:extLst>
        </c:ser>
        <c:ser>
          <c:idx val="1"/>
          <c:order val="1"/>
          <c:tx>
            <c:strRef>
              <c:f>'Ch4. Applications leading Tech'!$AP$151</c:f>
              <c:strCache>
                <c:ptCount val="1"/>
                <c:pt idx="0">
                  <c:v>Semiconductors</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7C-4045-9F8C-F4DB194685B9}"/>
                </c:ext>
              </c:extLst>
            </c:dLbl>
            <c:dLbl>
              <c:idx val="8"/>
              <c:layout>
                <c:manualLayout>
                  <c:x val="0.10023491736620915"/>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Tech'!$AQ$151:$AZ$151</c:f>
              <c:numCache>
                <c:formatCode>General</c:formatCode>
                <c:ptCount val="10"/>
                <c:pt idx="0">
                  <c:v>4</c:v>
                </c:pt>
                <c:pt idx="1">
                  <c:v>4</c:v>
                </c:pt>
                <c:pt idx="2">
                  <c:v>5</c:v>
                </c:pt>
                <c:pt idx="3">
                  <c:v>8</c:v>
                </c:pt>
                <c:pt idx="4">
                  <c:v>9</c:v>
                </c:pt>
                <c:pt idx="5">
                  <c:v>8</c:v>
                </c:pt>
                <c:pt idx="6">
                  <c:v>8</c:v>
                </c:pt>
                <c:pt idx="7">
                  <c:v>8</c:v>
                </c:pt>
                <c:pt idx="8">
                  <c:v>8</c:v>
                </c:pt>
                <c:pt idx="9">
                  <c:v>8</c:v>
                </c:pt>
              </c:numCache>
            </c:numRef>
          </c:val>
          <c:smooth val="0"/>
          <c:extLst>
            <c:ext xmlns:c16="http://schemas.microsoft.com/office/drawing/2014/chart" uri="{C3380CC4-5D6E-409C-BE32-E72D297353CC}">
              <c16:uniqueId val="{00000005-A57C-4045-9F8C-F4DB194685B9}"/>
            </c:ext>
          </c:extLst>
        </c:ser>
        <c:ser>
          <c:idx val="2"/>
          <c:order val="2"/>
          <c:tx>
            <c:strRef>
              <c:f>'Ch4. Applications leading Tech'!$AP$152</c:f>
              <c:strCache>
                <c:ptCount val="1"/>
                <c:pt idx="0">
                  <c:v>Transport</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7C-4045-9F8C-F4DB194685B9}"/>
                </c:ext>
              </c:extLst>
            </c:dLbl>
            <c:dLbl>
              <c:idx val="8"/>
              <c:layout>
                <c:manualLayout>
                  <c:x val="9.8146689921079805E-2"/>
                  <c:y val="-8.148148148148141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Tech'!$AQ$152:$AZ$152</c:f>
              <c:numCache>
                <c:formatCode>General</c:formatCode>
                <c:ptCount val="10"/>
                <c:pt idx="0">
                  <c:v>7</c:v>
                </c:pt>
                <c:pt idx="1">
                  <c:v>7</c:v>
                </c:pt>
                <c:pt idx="2">
                  <c:v>8</c:v>
                </c:pt>
                <c:pt idx="3">
                  <c:v>7</c:v>
                </c:pt>
                <c:pt idx="4">
                  <c:v>7</c:v>
                </c:pt>
                <c:pt idx="5">
                  <c:v>7</c:v>
                </c:pt>
                <c:pt idx="6">
                  <c:v>7</c:v>
                </c:pt>
                <c:pt idx="7">
                  <c:v>7</c:v>
                </c:pt>
                <c:pt idx="8">
                  <c:v>7</c:v>
                </c:pt>
                <c:pt idx="9">
                  <c:v>6</c:v>
                </c:pt>
              </c:numCache>
            </c:numRef>
          </c:val>
          <c:smooth val="0"/>
          <c:extLst>
            <c:ext xmlns:c16="http://schemas.microsoft.com/office/drawing/2014/chart" uri="{C3380CC4-5D6E-409C-BE32-E72D297353CC}">
              <c16:uniqueId val="{00000008-A57C-4045-9F8C-F4DB194685B9}"/>
            </c:ext>
          </c:extLst>
        </c:ser>
        <c:ser>
          <c:idx val="3"/>
          <c:order val="3"/>
          <c:tx>
            <c:strRef>
              <c:f>'Ch4. Applications leading Tech'!$AP$153</c:f>
              <c:strCache>
                <c:ptCount val="1"/>
                <c:pt idx="0">
                  <c:v>Handling</c:v>
                </c:pt>
              </c:strCache>
            </c:strRef>
          </c:tx>
          <c:spPr>
            <a:ln w="38100" cap="rnd">
              <a:solidFill>
                <a:schemeClr val="accent4"/>
              </a:solidFill>
              <a:round/>
            </a:ln>
            <a:effectLst/>
          </c:spPr>
          <c:marker>
            <c:symbol val="none"/>
          </c:marker>
          <c:dLbls>
            <c:dLbl>
              <c:idx val="8"/>
              <c:layout>
                <c:manualLayout>
                  <c:x val="0.10232314481133852"/>
                  <c:y val="0.1111111111111109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Tech'!$AQ$153:$AZ$153</c:f>
              <c:numCache>
                <c:formatCode>General</c:formatCode>
                <c:ptCount val="10"/>
                <c:pt idx="0">
                  <c:v>11</c:v>
                </c:pt>
                <c:pt idx="1">
                  <c:v>11</c:v>
                </c:pt>
                <c:pt idx="2">
                  <c:v>11</c:v>
                </c:pt>
                <c:pt idx="3">
                  <c:v>10</c:v>
                </c:pt>
                <c:pt idx="4">
                  <c:v>10</c:v>
                </c:pt>
                <c:pt idx="5">
                  <c:v>10</c:v>
                </c:pt>
                <c:pt idx="6">
                  <c:v>10</c:v>
                </c:pt>
                <c:pt idx="7">
                  <c:v>9</c:v>
                </c:pt>
                <c:pt idx="8">
                  <c:v>9</c:v>
                </c:pt>
                <c:pt idx="9">
                  <c:v>11</c:v>
                </c:pt>
              </c:numCache>
            </c:numRef>
          </c:val>
          <c:smooth val="0"/>
          <c:extLst>
            <c:ext xmlns:c16="http://schemas.microsoft.com/office/drawing/2014/chart" uri="{C3380CC4-5D6E-409C-BE32-E72D297353CC}">
              <c16:uniqueId val="{0000000A-A57C-4045-9F8C-F4DB194685B9}"/>
            </c:ext>
          </c:extLst>
        </c:ser>
        <c:ser>
          <c:idx val="4"/>
          <c:order val="4"/>
          <c:tx>
            <c:strRef>
              <c:f>'Ch4. Applications leading Tech'!$AP$154</c:f>
              <c:strCache>
                <c:ptCount val="1"/>
                <c:pt idx="0">
                  <c:v>Measurement</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57C-4045-9F8C-F4DB194685B9}"/>
                </c:ext>
              </c:extLst>
            </c:dLbl>
            <c:dLbl>
              <c:idx val="8"/>
              <c:layout>
                <c:manualLayout>
                  <c:x val="9.6058462475950443E-2"/>
                  <c:y val="-6.7900450176106624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Tech'!$AQ$154:$AZ$154</c:f>
              <c:numCache>
                <c:formatCode>General</c:formatCode>
                <c:ptCount val="10"/>
                <c:pt idx="0">
                  <c:v>6</c:v>
                </c:pt>
                <c:pt idx="1">
                  <c:v>6</c:v>
                </c:pt>
                <c:pt idx="2">
                  <c:v>6</c:v>
                </c:pt>
                <c:pt idx="3">
                  <c:v>5</c:v>
                </c:pt>
                <c:pt idx="4">
                  <c:v>6</c:v>
                </c:pt>
                <c:pt idx="5">
                  <c:v>6</c:v>
                </c:pt>
                <c:pt idx="6">
                  <c:v>6</c:v>
                </c:pt>
                <c:pt idx="7">
                  <c:v>4</c:v>
                </c:pt>
                <c:pt idx="8">
                  <c:v>5</c:v>
                </c:pt>
                <c:pt idx="9">
                  <c:v>5</c:v>
                </c:pt>
              </c:numCache>
            </c:numRef>
          </c:val>
          <c:smooth val="0"/>
          <c:extLst>
            <c:ext xmlns:c16="http://schemas.microsoft.com/office/drawing/2014/chart" uri="{C3380CC4-5D6E-409C-BE32-E72D297353CC}">
              <c16:uniqueId val="{0000000D-A57C-4045-9F8C-F4DB194685B9}"/>
            </c:ext>
          </c:extLst>
        </c:ser>
        <c:ser>
          <c:idx val="5"/>
          <c:order val="5"/>
          <c:tx>
            <c:strRef>
              <c:f>'Ch4. Applications leading Tech'!$AP$155</c:f>
              <c:strCache>
                <c:ptCount val="1"/>
                <c:pt idx="0">
                  <c:v>Optics</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7C-4045-9F8C-F4DB194685B9}"/>
                </c:ext>
              </c:extLst>
            </c:dLbl>
            <c:dLbl>
              <c:idx val="8"/>
              <c:layout>
                <c:manualLayout>
                  <c:x val="0.10023491736620915"/>
                  <c:y val="6.666666666666652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Tech'!$AQ$155:$AZ$155</c:f>
              <c:numCache>
                <c:formatCode>General</c:formatCode>
                <c:ptCount val="10"/>
                <c:pt idx="0">
                  <c:v>2</c:v>
                </c:pt>
                <c:pt idx="1">
                  <c:v>3</c:v>
                </c:pt>
                <c:pt idx="2">
                  <c:v>3</c:v>
                </c:pt>
                <c:pt idx="3">
                  <c:v>4</c:v>
                </c:pt>
                <c:pt idx="4">
                  <c:v>4</c:v>
                </c:pt>
                <c:pt idx="5">
                  <c:v>4</c:v>
                </c:pt>
                <c:pt idx="6">
                  <c:v>4</c:v>
                </c:pt>
                <c:pt idx="7">
                  <c:v>6</c:v>
                </c:pt>
                <c:pt idx="8">
                  <c:v>6</c:v>
                </c:pt>
                <c:pt idx="9">
                  <c:v>7</c:v>
                </c:pt>
              </c:numCache>
            </c:numRef>
          </c:val>
          <c:smooth val="0"/>
          <c:extLst>
            <c:ext xmlns:c16="http://schemas.microsoft.com/office/drawing/2014/chart" uri="{C3380CC4-5D6E-409C-BE32-E72D297353CC}">
              <c16:uniqueId val="{00000010-A57C-4045-9F8C-F4DB194685B9}"/>
            </c:ext>
          </c:extLst>
        </c:ser>
        <c:ser>
          <c:idx val="6"/>
          <c:order val="6"/>
          <c:tx>
            <c:strRef>
              <c:f>'Ch4. Applications leading Tech'!$AP$156</c:f>
              <c:strCache>
                <c:ptCount val="1"/>
                <c:pt idx="0">
                  <c:v>Medical technology</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57C-4045-9F8C-F4DB194685B9}"/>
                </c:ext>
              </c:extLst>
            </c:dLbl>
            <c:dLbl>
              <c:idx val="8"/>
              <c:layout>
                <c:manualLayout>
                  <c:x val="9.6058462475950443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Tech'!$AQ$156:$AZ$156</c:f>
              <c:numCache>
                <c:formatCode>General</c:formatCode>
                <c:ptCount val="10"/>
                <c:pt idx="0">
                  <c:v>9</c:v>
                </c:pt>
                <c:pt idx="1">
                  <c:v>11</c:v>
                </c:pt>
                <c:pt idx="2">
                  <c:v>11</c:v>
                </c:pt>
                <c:pt idx="3">
                  <c:v>6</c:v>
                </c:pt>
                <c:pt idx="4">
                  <c:v>5</c:v>
                </c:pt>
                <c:pt idx="5">
                  <c:v>5</c:v>
                </c:pt>
                <c:pt idx="6">
                  <c:v>5</c:v>
                </c:pt>
                <c:pt idx="7">
                  <c:v>5</c:v>
                </c:pt>
                <c:pt idx="8">
                  <c:v>4</c:v>
                </c:pt>
                <c:pt idx="9">
                  <c:v>4</c:v>
                </c:pt>
              </c:numCache>
            </c:numRef>
          </c:val>
          <c:smooth val="0"/>
          <c:extLst>
            <c:ext xmlns:c16="http://schemas.microsoft.com/office/drawing/2014/chart" uri="{C3380CC4-5D6E-409C-BE32-E72D297353CC}">
              <c16:uniqueId val="{00000013-A57C-4045-9F8C-F4DB194685B9}"/>
            </c:ext>
          </c:extLst>
        </c:ser>
        <c:ser>
          <c:idx val="7"/>
          <c:order val="7"/>
          <c:tx>
            <c:strRef>
              <c:f>'Ch4. Applications leading Tech'!$AP$157</c:f>
              <c:strCache>
                <c:ptCount val="1"/>
                <c:pt idx="0">
                  <c:v>Furniture, games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57C-4045-9F8C-F4DB194685B9}"/>
                </c:ext>
              </c:extLst>
            </c:dLbl>
            <c:dLbl>
              <c:idx val="8"/>
              <c:layout>
                <c:manualLayout>
                  <c:x val="9.702513091295166E-2"/>
                  <c:y val="6.7025663458734328E-2"/>
                </c:manualLayout>
              </c:layout>
              <c:spPr>
                <a:noFill/>
                <a:ln>
                  <a:noFill/>
                </a:ln>
                <a:effectLst/>
              </c:spPr>
              <c:txPr>
                <a:bodyPr rot="0" spcFirstLastPara="1" vertOverflow="ellipsis" vert="horz" wrap="square" lIns="38100" tIns="19050" rIns="38100" bIns="19050" anchor="ctr" anchorCtr="0">
                  <a:noAutofit/>
                </a:bodyPr>
                <a:lstStyle/>
                <a:p>
                  <a:pPr algn="l">
                    <a:defRPr sz="1000" b="0" i="1"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385438609155019"/>
                      <c:h val="8.9011081948089821E-2"/>
                    </c:manualLayout>
                  </c15:layout>
                </c:ext>
                <c:ext xmlns:c16="http://schemas.microsoft.com/office/drawing/2014/chart" uri="{C3380CC4-5D6E-409C-BE32-E72D297353CC}">
                  <c16:uniqueId val="{0000000B-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Tech'!$AQ$157:$AZ$157</c:f>
              <c:numCache>
                <c:formatCode>General</c:formatCode>
                <c:ptCount val="10"/>
                <c:pt idx="0">
                  <c:v>8</c:v>
                </c:pt>
                <c:pt idx="1">
                  <c:v>8</c:v>
                </c:pt>
                <c:pt idx="2">
                  <c:v>4</c:v>
                </c:pt>
                <c:pt idx="3">
                  <c:v>11</c:v>
                </c:pt>
                <c:pt idx="4">
                  <c:v>2</c:v>
                </c:pt>
                <c:pt idx="5">
                  <c:v>2</c:v>
                </c:pt>
                <c:pt idx="6">
                  <c:v>2</c:v>
                </c:pt>
                <c:pt idx="7">
                  <c:v>2</c:v>
                </c:pt>
                <c:pt idx="8">
                  <c:v>2</c:v>
                </c:pt>
                <c:pt idx="9">
                  <c:v>3</c:v>
                </c:pt>
              </c:numCache>
            </c:numRef>
          </c:val>
          <c:smooth val="0"/>
          <c:extLst>
            <c:ext xmlns:c16="http://schemas.microsoft.com/office/drawing/2014/chart" uri="{C3380CC4-5D6E-409C-BE32-E72D297353CC}">
              <c16:uniqueId val="{00000016-A57C-4045-9F8C-F4DB194685B9}"/>
            </c:ext>
          </c:extLst>
        </c:ser>
        <c:ser>
          <c:idx val="8"/>
          <c:order val="8"/>
          <c:tx>
            <c:strRef>
              <c:f>'Ch4. Applications leading Tech'!$AP$158</c:f>
              <c:strCache>
                <c:ptCount val="1"/>
                <c:pt idx="0">
                  <c:v>Engines, pumps, turbines</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57C-4045-9F8C-F4DB194685B9}"/>
                </c:ext>
              </c:extLst>
            </c:dLbl>
            <c:dLbl>
              <c:idx val="8"/>
              <c:layout>
                <c:manualLayout>
                  <c:x val="8.6260236219630887E-2"/>
                  <c:y val="2.0370224555263924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099457998100205"/>
                      <c:h val="7.5592592592592586E-2"/>
                    </c:manualLayout>
                  </c15:layout>
                </c:ext>
                <c:ext xmlns:c16="http://schemas.microsoft.com/office/drawing/2014/chart" uri="{C3380CC4-5D6E-409C-BE32-E72D297353CC}">
                  <c16:uniqueId val="{00000002-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Tech'!$AQ$158:$AZ$158</c:f>
              <c:numCache>
                <c:formatCode>General</c:formatCode>
                <c:ptCount val="10"/>
                <c:pt idx="0">
                  <c:v>10</c:v>
                </c:pt>
                <c:pt idx="1">
                  <c:v>10</c:v>
                </c:pt>
                <c:pt idx="2">
                  <c:v>10</c:v>
                </c:pt>
                <c:pt idx="3">
                  <c:v>11</c:v>
                </c:pt>
                <c:pt idx="4">
                  <c:v>11</c:v>
                </c:pt>
                <c:pt idx="5">
                  <c:v>11</c:v>
                </c:pt>
                <c:pt idx="6">
                  <c:v>11</c:v>
                </c:pt>
                <c:pt idx="7">
                  <c:v>11</c:v>
                </c:pt>
                <c:pt idx="8">
                  <c:v>11</c:v>
                </c:pt>
                <c:pt idx="9">
                  <c:v>11</c:v>
                </c:pt>
              </c:numCache>
            </c:numRef>
          </c:val>
          <c:smooth val="0"/>
          <c:extLst>
            <c:ext xmlns:c16="http://schemas.microsoft.com/office/drawing/2014/chart" uri="{C3380CC4-5D6E-409C-BE32-E72D297353CC}">
              <c16:uniqueId val="{00000019-A57C-4045-9F8C-F4DB194685B9}"/>
            </c:ext>
          </c:extLst>
        </c:ser>
        <c:ser>
          <c:idx val="9"/>
          <c:order val="9"/>
          <c:tx>
            <c:strRef>
              <c:f>'Ch4. Applications leading Tech'!$AP$159</c:f>
              <c:strCache>
                <c:ptCount val="1"/>
                <c:pt idx="0">
                  <c:v>Computer technology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57C-4045-9F8C-F4DB194685B9}"/>
                </c:ext>
              </c:extLst>
            </c:dLbl>
            <c:dLbl>
              <c:idx val="8"/>
              <c:layout>
                <c:manualLayout>
                  <c:x val="9.3970235030821081E-2"/>
                  <c:y val="-6.296296296296302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7EDC-4FEB-899E-4AEDBCD21B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Tech'!$AQ$159:$AZ$159</c:f>
              <c:numCache>
                <c:formatCode>General</c:formatCode>
                <c:ptCount val="10"/>
                <c:pt idx="0">
                  <c:v>3</c:v>
                </c:pt>
                <c:pt idx="1">
                  <c:v>2</c:v>
                </c:pt>
                <c:pt idx="2">
                  <c:v>2</c:v>
                </c:pt>
                <c:pt idx="3">
                  <c:v>2</c:v>
                </c:pt>
                <c:pt idx="4">
                  <c:v>3</c:v>
                </c:pt>
                <c:pt idx="5">
                  <c:v>3</c:v>
                </c:pt>
                <c:pt idx="6">
                  <c:v>3</c:v>
                </c:pt>
                <c:pt idx="7">
                  <c:v>3</c:v>
                </c:pt>
                <c:pt idx="8">
                  <c:v>3</c:v>
                </c:pt>
                <c:pt idx="9">
                  <c:v>2</c:v>
                </c:pt>
              </c:numCache>
            </c:numRef>
          </c:val>
          <c:smooth val="0"/>
          <c:extLst>
            <c:ext xmlns:c16="http://schemas.microsoft.com/office/drawing/2014/chart" uri="{C3380CC4-5D6E-409C-BE32-E72D297353CC}">
              <c16:uniqueId val="{0000001C-A57C-4045-9F8C-F4DB194685B9}"/>
            </c:ext>
          </c:extLst>
        </c:ser>
        <c:ser>
          <c:idx val="10"/>
          <c:order val="10"/>
          <c:tx>
            <c:strRef>
              <c:f>'Ch4. Applications leading Tech'!$AP$160</c:f>
              <c:strCache>
                <c:ptCount val="1"/>
                <c:pt idx="0">
                  <c:v>Electrical machinery, apparatus, energy</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57C-4045-9F8C-F4DB194685B9}"/>
                </c:ext>
              </c:extLst>
            </c:dLbl>
            <c:dLbl>
              <c:idx val="8"/>
              <c:layout>
                <c:manualLayout>
                  <c:x val="9.3970235030821081E-2"/>
                  <c:y val="-3.3950225088053312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EDC-4FEB-899E-4AEDBCD21BC7}"/>
                </c:ext>
              </c:extLst>
            </c:dLbl>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Tech'!$AQ$149:$AZ$149</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'Ch4. Applications leading Tech'!$AQ$160:$AZ$160</c:f>
              <c:numCache>
                <c:formatCode>General</c:formatCode>
                <c:ptCount val="10"/>
                <c:pt idx="0">
                  <c:v>1</c:v>
                </c:pt>
                <c:pt idx="1">
                  <c:v>1</c:v>
                </c:pt>
                <c:pt idx="2">
                  <c:v>1</c:v>
                </c:pt>
                <c:pt idx="3">
                  <c:v>1</c:v>
                </c:pt>
                <c:pt idx="4">
                  <c:v>1</c:v>
                </c:pt>
                <c:pt idx="5">
                  <c:v>1</c:v>
                </c:pt>
                <c:pt idx="6">
                  <c:v>1</c:v>
                </c:pt>
                <c:pt idx="7">
                  <c:v>1</c:v>
                </c:pt>
                <c:pt idx="8">
                  <c:v>1</c:v>
                </c:pt>
                <c:pt idx="9">
                  <c:v>1</c:v>
                </c:pt>
              </c:numCache>
            </c:numRef>
          </c:val>
          <c:smooth val="0"/>
          <c:extLst>
            <c:ext xmlns:c16="http://schemas.microsoft.com/office/drawing/2014/chart" uri="{C3380CC4-5D6E-409C-BE32-E72D297353CC}">
              <c16:uniqueId val="{0000001F-A57C-4045-9F8C-F4DB194685B9}"/>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KIPO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1297258675998829"/>
        </c:manualLayout>
      </c:layout>
      <c:lineChart>
        <c:grouping val="standard"/>
        <c:varyColors val="0"/>
        <c:ser>
          <c:idx val="0"/>
          <c:order val="0"/>
          <c:tx>
            <c:strRef>
              <c:f>'Ch4. Applications leading Tech'!$BE$150</c:f>
              <c:strCache>
                <c:ptCount val="1"/>
                <c:pt idx="0">
                  <c:v>Measurement</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92-4430-8568-3C5D7143BE50}"/>
                </c:ext>
              </c:extLst>
            </c:dLbl>
            <c:dLbl>
              <c:idx val="9"/>
              <c:layout>
                <c:manualLayout>
                  <c:x val="7.2165294267414026E-2"/>
                  <c:y val="4.074074074074074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Tech'!$BF$150:$BP$150</c:f>
              <c:numCache>
                <c:formatCode>General</c:formatCode>
                <c:ptCount val="11"/>
                <c:pt idx="0">
                  <c:v>9</c:v>
                </c:pt>
                <c:pt idx="1">
                  <c:v>7</c:v>
                </c:pt>
                <c:pt idx="2">
                  <c:v>7</c:v>
                </c:pt>
                <c:pt idx="3">
                  <c:v>8</c:v>
                </c:pt>
                <c:pt idx="4">
                  <c:v>8</c:v>
                </c:pt>
                <c:pt idx="5">
                  <c:v>10</c:v>
                </c:pt>
                <c:pt idx="6">
                  <c:v>10</c:v>
                </c:pt>
                <c:pt idx="7">
                  <c:v>10</c:v>
                </c:pt>
                <c:pt idx="8">
                  <c:v>10</c:v>
                </c:pt>
                <c:pt idx="9">
                  <c:v>7</c:v>
                </c:pt>
                <c:pt idx="10">
                  <c:v>8</c:v>
                </c:pt>
              </c:numCache>
            </c:numRef>
          </c:val>
          <c:smooth val="0"/>
          <c:extLst>
            <c:ext xmlns:c16="http://schemas.microsoft.com/office/drawing/2014/chart" uri="{C3380CC4-5D6E-409C-BE32-E72D297353CC}">
              <c16:uniqueId val="{00000002-2792-4430-8568-3C5D7143BE50}"/>
            </c:ext>
          </c:extLst>
        </c:ser>
        <c:ser>
          <c:idx val="1"/>
          <c:order val="1"/>
          <c:tx>
            <c:strRef>
              <c:f>'Ch4. Applications leading Tech'!$BE$151</c:f>
              <c:strCache>
                <c:ptCount val="1"/>
                <c:pt idx="0">
                  <c:v>Other special machines</c:v>
                </c:pt>
              </c:strCache>
            </c:strRef>
          </c:tx>
          <c:spPr>
            <a:ln w="38100" cap="rnd">
              <a:solidFill>
                <a:schemeClr val="accent2"/>
              </a:solidFill>
              <a:round/>
            </a:ln>
            <a:effectLst/>
          </c:spPr>
          <c:marker>
            <c:symbol val="none"/>
          </c:marker>
          <c:dLbls>
            <c:dLbl>
              <c:idx val="9"/>
              <c:layout>
                <c:manualLayout>
                  <c:x val="7.2165294267414026E-2"/>
                  <c:y val="5.5555555555555552E-2"/>
                </c:manualLayout>
              </c:layout>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960373793128479"/>
                      <c:h val="9.2481481481481484E-2"/>
                    </c:manualLayout>
                  </c15:layout>
                </c:ext>
                <c:ext xmlns:c16="http://schemas.microsoft.com/office/drawing/2014/chart" uri="{C3380CC4-5D6E-409C-BE32-E72D297353CC}">
                  <c16:uniqueId val="{0000000B-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Tech'!$BF$151:$BP$151</c:f>
              <c:numCache>
                <c:formatCode>General</c:formatCode>
                <c:ptCount val="11"/>
                <c:pt idx="0">
                  <c:v>13</c:v>
                </c:pt>
                <c:pt idx="1">
                  <c:v>10</c:v>
                </c:pt>
                <c:pt idx="2">
                  <c:v>10</c:v>
                </c:pt>
                <c:pt idx="3">
                  <c:v>13</c:v>
                </c:pt>
                <c:pt idx="4">
                  <c:v>10</c:v>
                </c:pt>
                <c:pt idx="5">
                  <c:v>9</c:v>
                </c:pt>
                <c:pt idx="6">
                  <c:v>9</c:v>
                </c:pt>
                <c:pt idx="7">
                  <c:v>9</c:v>
                </c:pt>
                <c:pt idx="8">
                  <c:v>9</c:v>
                </c:pt>
                <c:pt idx="9">
                  <c:v>10</c:v>
                </c:pt>
                <c:pt idx="10">
                  <c:v>11</c:v>
                </c:pt>
              </c:numCache>
            </c:numRef>
          </c:val>
          <c:smooth val="0"/>
          <c:extLst>
            <c:ext xmlns:c16="http://schemas.microsoft.com/office/drawing/2014/chart" uri="{C3380CC4-5D6E-409C-BE32-E72D297353CC}">
              <c16:uniqueId val="{00000004-2792-4430-8568-3C5D7143BE50}"/>
            </c:ext>
          </c:extLst>
        </c:ser>
        <c:ser>
          <c:idx val="2"/>
          <c:order val="2"/>
          <c:tx>
            <c:strRef>
              <c:f>'Ch4. Applications leading Tech'!$BE$152</c:f>
              <c:strCache>
                <c:ptCount val="1"/>
                <c:pt idx="0">
                  <c:v>Digital communication</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92-4430-8568-3C5D7143BE50}"/>
                </c:ext>
              </c:extLst>
            </c:dLbl>
            <c:dLbl>
              <c:idx val="9"/>
              <c:layout>
                <c:manualLayout>
                  <c:x val="7.0761581228298315E-2"/>
                  <c:y val="-4.8147856517935329E-2"/>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0867409606874199"/>
                      <c:h val="6.1629629629629638E-2"/>
                    </c:manualLayout>
                  </c15:layout>
                </c:ext>
                <c:ext xmlns:c16="http://schemas.microsoft.com/office/drawing/2014/chart" uri="{C3380CC4-5D6E-409C-BE32-E72D297353CC}">
                  <c16:uniqueId val="{00000009-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Tech'!$BF$152:$BP$152</c:f>
              <c:numCache>
                <c:formatCode>General</c:formatCode>
                <c:ptCount val="11"/>
                <c:pt idx="0">
                  <c:v>6</c:v>
                </c:pt>
                <c:pt idx="1">
                  <c:v>6</c:v>
                </c:pt>
                <c:pt idx="2">
                  <c:v>5</c:v>
                </c:pt>
                <c:pt idx="3">
                  <c:v>7</c:v>
                </c:pt>
                <c:pt idx="4">
                  <c:v>7</c:v>
                </c:pt>
                <c:pt idx="5">
                  <c:v>7</c:v>
                </c:pt>
                <c:pt idx="6">
                  <c:v>8</c:v>
                </c:pt>
                <c:pt idx="7">
                  <c:v>5</c:v>
                </c:pt>
                <c:pt idx="8">
                  <c:v>8</c:v>
                </c:pt>
                <c:pt idx="9">
                  <c:v>8</c:v>
                </c:pt>
                <c:pt idx="10">
                  <c:v>7</c:v>
                </c:pt>
              </c:numCache>
            </c:numRef>
          </c:val>
          <c:smooth val="0"/>
          <c:extLst>
            <c:ext xmlns:c16="http://schemas.microsoft.com/office/drawing/2014/chart" uri="{C3380CC4-5D6E-409C-BE32-E72D297353CC}">
              <c16:uniqueId val="{00000007-2792-4430-8568-3C5D7143BE50}"/>
            </c:ext>
          </c:extLst>
        </c:ser>
        <c:ser>
          <c:idx val="3"/>
          <c:order val="3"/>
          <c:tx>
            <c:strRef>
              <c:f>'Ch4. Applications leading Tech'!$BE$153</c:f>
              <c:strCache>
                <c:ptCount val="1"/>
                <c:pt idx="0">
                  <c:v>Civil engineering</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92-4430-8568-3C5D7143BE50}"/>
                </c:ext>
              </c:extLst>
            </c:dLbl>
            <c:dLbl>
              <c:idx val="9"/>
              <c:layout>
                <c:manualLayout>
                  <c:x val="7.2165211699672299E-2"/>
                  <c:y val="4.814814814814814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Tech'!$BF$153:$BP$153</c:f>
              <c:numCache>
                <c:formatCode>General</c:formatCode>
                <c:ptCount val="11"/>
                <c:pt idx="0">
                  <c:v>5</c:v>
                </c:pt>
                <c:pt idx="1">
                  <c:v>5</c:v>
                </c:pt>
                <c:pt idx="2">
                  <c:v>6</c:v>
                </c:pt>
                <c:pt idx="3">
                  <c:v>5</c:v>
                </c:pt>
                <c:pt idx="4">
                  <c:v>6</c:v>
                </c:pt>
                <c:pt idx="5">
                  <c:v>6</c:v>
                </c:pt>
                <c:pt idx="6">
                  <c:v>7</c:v>
                </c:pt>
                <c:pt idx="7">
                  <c:v>8</c:v>
                </c:pt>
                <c:pt idx="8">
                  <c:v>7</c:v>
                </c:pt>
                <c:pt idx="9">
                  <c:v>9</c:v>
                </c:pt>
                <c:pt idx="10">
                  <c:v>10</c:v>
                </c:pt>
              </c:numCache>
            </c:numRef>
          </c:val>
          <c:smooth val="0"/>
          <c:extLst>
            <c:ext xmlns:c16="http://schemas.microsoft.com/office/drawing/2014/chart" uri="{C3380CC4-5D6E-409C-BE32-E72D297353CC}">
              <c16:uniqueId val="{0000000A-2792-4430-8568-3C5D7143BE50}"/>
            </c:ext>
          </c:extLst>
        </c:ser>
        <c:ser>
          <c:idx val="4"/>
          <c:order val="4"/>
          <c:tx>
            <c:strRef>
              <c:f>'Ch4. Applications leading Tech'!$BE$154</c:f>
              <c:strCache>
                <c:ptCount val="1"/>
                <c:pt idx="0">
                  <c:v>Medical technology</c:v>
                </c:pt>
              </c:strCache>
            </c:strRef>
          </c:tx>
          <c:spPr>
            <a:ln w="38100" cap="rnd">
              <a:solidFill>
                <a:schemeClr val="accent5"/>
              </a:solidFill>
              <a:round/>
            </a:ln>
            <a:effectLst/>
          </c:spPr>
          <c:marker>
            <c:symbol val="none"/>
          </c:marker>
          <c:dLbls>
            <c:dLbl>
              <c:idx val="9"/>
              <c:layout>
                <c:manualLayout>
                  <c:x val="5.5059993243554109E-2"/>
                  <c:y val="4.444473607465733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040829939377115"/>
                      <c:h val="6.9037037037037036E-2"/>
                    </c:manualLayout>
                  </c15:layout>
                </c:ext>
                <c:ext xmlns:c16="http://schemas.microsoft.com/office/drawing/2014/chart" uri="{C3380CC4-5D6E-409C-BE32-E72D297353CC}">
                  <c16:uniqueId val="{00000005-1B18-4F73-87F0-E6BEC4B05C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Tech'!$BF$154:$BP$154</c:f>
              <c:numCache>
                <c:formatCode>General</c:formatCode>
                <c:ptCount val="11"/>
                <c:pt idx="0">
                  <c:v>13</c:v>
                </c:pt>
                <c:pt idx="1">
                  <c:v>13</c:v>
                </c:pt>
                <c:pt idx="2">
                  <c:v>9</c:v>
                </c:pt>
                <c:pt idx="3">
                  <c:v>9</c:v>
                </c:pt>
                <c:pt idx="4">
                  <c:v>9</c:v>
                </c:pt>
                <c:pt idx="5">
                  <c:v>8</c:v>
                </c:pt>
                <c:pt idx="6">
                  <c:v>6</c:v>
                </c:pt>
                <c:pt idx="7">
                  <c:v>7</c:v>
                </c:pt>
                <c:pt idx="8">
                  <c:v>4</c:v>
                </c:pt>
                <c:pt idx="9">
                  <c:v>4</c:v>
                </c:pt>
                <c:pt idx="10">
                  <c:v>5</c:v>
                </c:pt>
              </c:numCache>
            </c:numRef>
          </c:val>
          <c:smooth val="0"/>
          <c:extLst>
            <c:ext xmlns:c16="http://schemas.microsoft.com/office/drawing/2014/chart" uri="{C3380CC4-5D6E-409C-BE32-E72D297353CC}">
              <c16:uniqueId val="{0000000C-2792-4430-8568-3C5D7143BE50}"/>
            </c:ext>
          </c:extLst>
        </c:ser>
        <c:ser>
          <c:idx val="5"/>
          <c:order val="5"/>
          <c:tx>
            <c:strRef>
              <c:f>'Ch4. Applications leading Tech'!$BE$155</c:f>
              <c:strCache>
                <c:ptCount val="1"/>
                <c:pt idx="0">
                  <c:v>IT methods for management</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92-4430-8568-3C5D7143BE50}"/>
                </c:ext>
              </c:extLst>
            </c:dLbl>
            <c:dLbl>
              <c:idx val="9"/>
              <c:layout>
                <c:manualLayout>
                  <c:x val="5.7034228198868268E-2"/>
                  <c:y val="1.4581510641107748E-7"/>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539530432509688"/>
                      <c:h val="0.10607407407407406"/>
                    </c:manualLayout>
                  </c15:layout>
                </c:ext>
                <c:ext xmlns:c16="http://schemas.microsoft.com/office/drawing/2014/chart" uri="{C3380CC4-5D6E-409C-BE32-E72D297353CC}">
                  <c16:uniqueId val="{00000004-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Tech'!$BF$155:$BP$155</c:f>
              <c:numCache>
                <c:formatCode>General</c:formatCode>
                <c:ptCount val="11"/>
                <c:pt idx="0">
                  <c:v>7</c:v>
                </c:pt>
                <c:pt idx="1">
                  <c:v>9</c:v>
                </c:pt>
                <c:pt idx="2">
                  <c:v>8</c:v>
                </c:pt>
                <c:pt idx="3">
                  <c:v>6</c:v>
                </c:pt>
                <c:pt idx="4">
                  <c:v>5</c:v>
                </c:pt>
                <c:pt idx="5">
                  <c:v>5</c:v>
                </c:pt>
                <c:pt idx="6">
                  <c:v>4</c:v>
                </c:pt>
                <c:pt idx="7">
                  <c:v>4</c:v>
                </c:pt>
                <c:pt idx="8">
                  <c:v>3</c:v>
                </c:pt>
                <c:pt idx="9">
                  <c:v>3</c:v>
                </c:pt>
                <c:pt idx="10">
                  <c:v>3</c:v>
                </c:pt>
              </c:numCache>
            </c:numRef>
          </c:val>
          <c:smooth val="0"/>
          <c:extLst>
            <c:ext xmlns:c16="http://schemas.microsoft.com/office/drawing/2014/chart" uri="{C3380CC4-5D6E-409C-BE32-E72D297353CC}">
              <c16:uniqueId val="{0000000F-2792-4430-8568-3C5D7143BE50}"/>
            </c:ext>
          </c:extLst>
        </c:ser>
        <c:ser>
          <c:idx val="6"/>
          <c:order val="6"/>
          <c:tx>
            <c:strRef>
              <c:f>'Ch4. Applications leading Tech'!$BE$156</c:f>
              <c:strCache>
                <c:ptCount val="1"/>
                <c:pt idx="0">
                  <c:v>Transport</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92-4430-8568-3C5D7143BE50}"/>
                </c:ext>
              </c:extLst>
            </c:dLbl>
            <c:dLbl>
              <c:idx val="9"/>
              <c:layout>
                <c:manualLayout>
                  <c:x val="6.9837381549110442E-2"/>
                  <c:y val="-6.790045017610662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Tech'!$BF$156:$BP$156</c:f>
              <c:numCache>
                <c:formatCode>General</c:formatCode>
                <c:ptCount val="11"/>
                <c:pt idx="0">
                  <c:v>4</c:v>
                </c:pt>
                <c:pt idx="1">
                  <c:v>4</c:v>
                </c:pt>
                <c:pt idx="2">
                  <c:v>3</c:v>
                </c:pt>
                <c:pt idx="3">
                  <c:v>3</c:v>
                </c:pt>
                <c:pt idx="4">
                  <c:v>3</c:v>
                </c:pt>
                <c:pt idx="5">
                  <c:v>3</c:v>
                </c:pt>
                <c:pt idx="6">
                  <c:v>5</c:v>
                </c:pt>
                <c:pt idx="7">
                  <c:v>6</c:v>
                </c:pt>
                <c:pt idx="8">
                  <c:v>6</c:v>
                </c:pt>
                <c:pt idx="9">
                  <c:v>6</c:v>
                </c:pt>
                <c:pt idx="10">
                  <c:v>6</c:v>
                </c:pt>
              </c:numCache>
            </c:numRef>
          </c:val>
          <c:smooth val="0"/>
          <c:extLst>
            <c:ext xmlns:c16="http://schemas.microsoft.com/office/drawing/2014/chart" uri="{C3380CC4-5D6E-409C-BE32-E72D297353CC}">
              <c16:uniqueId val="{00000012-2792-4430-8568-3C5D7143BE50}"/>
            </c:ext>
          </c:extLst>
        </c:ser>
        <c:ser>
          <c:idx val="7"/>
          <c:order val="7"/>
          <c:tx>
            <c:strRef>
              <c:f>'Ch4. Applications leading Tech'!$BE$157</c:f>
              <c:strCache>
                <c:ptCount val="1"/>
                <c:pt idx="0">
                  <c:v>Semiconductors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792-4430-8568-3C5D7143BE50}"/>
                </c:ext>
              </c:extLst>
            </c:dLbl>
            <c:dLbl>
              <c:idx val="9"/>
              <c:layout>
                <c:manualLayout>
                  <c:x val="6.9837381549110442E-2"/>
                  <c:y val="-4.07407407407407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B18-4F73-87F0-E6BEC4B05C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Tech'!$BF$157:$BP$157</c:f>
              <c:numCache>
                <c:formatCode>General</c:formatCode>
                <c:ptCount val="11"/>
                <c:pt idx="0">
                  <c:v>2</c:v>
                </c:pt>
                <c:pt idx="1">
                  <c:v>3</c:v>
                </c:pt>
                <c:pt idx="2">
                  <c:v>4</c:v>
                </c:pt>
                <c:pt idx="3">
                  <c:v>4</c:v>
                </c:pt>
                <c:pt idx="4">
                  <c:v>4</c:v>
                </c:pt>
                <c:pt idx="5">
                  <c:v>4</c:v>
                </c:pt>
                <c:pt idx="6">
                  <c:v>3</c:v>
                </c:pt>
                <c:pt idx="7">
                  <c:v>3</c:v>
                </c:pt>
                <c:pt idx="8">
                  <c:v>5</c:v>
                </c:pt>
                <c:pt idx="9">
                  <c:v>5</c:v>
                </c:pt>
                <c:pt idx="10">
                  <c:v>4</c:v>
                </c:pt>
              </c:numCache>
            </c:numRef>
          </c:val>
          <c:smooth val="0"/>
          <c:extLst>
            <c:ext xmlns:c16="http://schemas.microsoft.com/office/drawing/2014/chart" uri="{C3380CC4-5D6E-409C-BE32-E72D297353CC}">
              <c16:uniqueId val="{00000015-2792-4430-8568-3C5D7143BE50}"/>
            </c:ext>
          </c:extLst>
        </c:ser>
        <c:ser>
          <c:idx val="8"/>
          <c:order val="8"/>
          <c:tx>
            <c:strRef>
              <c:f>'Ch4. Applications leading Tech'!$BE$158</c:f>
              <c:strCache>
                <c:ptCount val="1"/>
                <c:pt idx="0">
                  <c:v>Audio-visual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792-4430-8568-3C5D7143BE50}"/>
                </c:ext>
              </c:extLst>
            </c:dLbl>
            <c:dLbl>
              <c:idx val="9"/>
              <c:layout>
                <c:manualLayout>
                  <c:x val="7.2165119847628398E-2"/>
                  <c:y val="-0.17374715660542439"/>
                </c:manualLayout>
              </c:layout>
              <c:spPr>
                <a:noFill/>
                <a:ln>
                  <a:noFill/>
                </a:ln>
                <a:effectLst/>
              </c:spPr>
              <c:txPr>
                <a:bodyPr rot="0" spcFirstLastPara="1" vertOverflow="ellipsis" vert="horz" wrap="square" lIns="38100" tIns="19050" rIns="38100" bIns="19050" anchor="ctr" anchorCtr="0">
                  <a:noAutofit/>
                </a:bodyPr>
                <a:lstStyle/>
                <a:p>
                  <a:pPr algn="l">
                    <a:defRPr sz="900" b="0" i="1"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415869142710399"/>
                      <c:h val="6.7467191601049872E-2"/>
                    </c:manualLayout>
                  </c15:layout>
                </c:ext>
                <c:ext xmlns:c16="http://schemas.microsoft.com/office/drawing/2014/chart" uri="{C3380CC4-5D6E-409C-BE32-E72D297353CC}">
                  <c16:uniqueId val="{0000000C-1B18-4F73-87F0-E6BEC4B05C7C}"/>
                </c:ext>
              </c:extLst>
            </c:dLbl>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Tech'!$BF$158:$BP$158</c:f>
              <c:numCache>
                <c:formatCode>General</c:formatCode>
                <c:ptCount val="11"/>
                <c:pt idx="0">
                  <c:v>8</c:v>
                </c:pt>
                <c:pt idx="1">
                  <c:v>8</c:v>
                </c:pt>
                <c:pt idx="2">
                  <c:v>13</c:v>
                </c:pt>
                <c:pt idx="3">
                  <c:v>10</c:v>
                </c:pt>
                <c:pt idx="4">
                  <c:v>13</c:v>
                </c:pt>
                <c:pt idx="5">
                  <c:v>13</c:v>
                </c:pt>
                <c:pt idx="6">
                  <c:v>13</c:v>
                </c:pt>
                <c:pt idx="7">
                  <c:v>13</c:v>
                </c:pt>
                <c:pt idx="8">
                  <c:v>13</c:v>
                </c:pt>
                <c:pt idx="9">
                  <c:v>13</c:v>
                </c:pt>
                <c:pt idx="10">
                  <c:v>9</c:v>
                </c:pt>
              </c:numCache>
            </c:numRef>
          </c:val>
          <c:smooth val="0"/>
          <c:extLst>
            <c:ext xmlns:c16="http://schemas.microsoft.com/office/drawing/2014/chart" uri="{C3380CC4-5D6E-409C-BE32-E72D297353CC}">
              <c16:uniqueId val="{00000018-2792-4430-8568-3C5D7143BE50}"/>
            </c:ext>
          </c:extLst>
        </c:ser>
        <c:ser>
          <c:idx val="9"/>
          <c:order val="9"/>
          <c:tx>
            <c:strRef>
              <c:f>'Ch4. Applications leading Tech'!$BE$159</c:f>
              <c:strCache>
                <c:ptCount val="1"/>
                <c:pt idx="0">
                  <c:v>Computer technology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792-4430-8568-3C5D7143BE50}"/>
                </c:ext>
              </c:extLst>
            </c:dLbl>
            <c:dLbl>
              <c:idx val="9"/>
              <c:layout>
                <c:manualLayout>
                  <c:x val="6.7509468830806663E-2"/>
                  <c:y val="1.8519976669582969E-3"/>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765508618684415"/>
                      <c:h val="8.0148148148148135E-2"/>
                    </c:manualLayout>
                  </c15:layout>
                </c:ext>
                <c:ext xmlns:c16="http://schemas.microsoft.com/office/drawing/2014/chart" uri="{C3380CC4-5D6E-409C-BE32-E72D297353CC}">
                  <c16:uniqueId val="{00000003-1B18-4F73-87F0-E6BEC4B05C7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Tech'!$BF$159:$BP$159</c:f>
              <c:numCache>
                <c:formatCode>General</c:formatCode>
                <c:ptCount val="11"/>
                <c:pt idx="0">
                  <c:v>3</c:v>
                </c:pt>
                <c:pt idx="1">
                  <c:v>2</c:v>
                </c:pt>
                <c:pt idx="2">
                  <c:v>2</c:v>
                </c:pt>
                <c:pt idx="3">
                  <c:v>2</c:v>
                </c:pt>
                <c:pt idx="4">
                  <c:v>2</c:v>
                </c:pt>
                <c:pt idx="5">
                  <c:v>2</c:v>
                </c:pt>
                <c:pt idx="6">
                  <c:v>2</c:v>
                </c:pt>
                <c:pt idx="7">
                  <c:v>2</c:v>
                </c:pt>
                <c:pt idx="8">
                  <c:v>2</c:v>
                </c:pt>
                <c:pt idx="9">
                  <c:v>2</c:v>
                </c:pt>
                <c:pt idx="10">
                  <c:v>2</c:v>
                </c:pt>
              </c:numCache>
            </c:numRef>
          </c:val>
          <c:smooth val="0"/>
          <c:extLst>
            <c:ext xmlns:c16="http://schemas.microsoft.com/office/drawing/2014/chart" uri="{C3380CC4-5D6E-409C-BE32-E72D297353CC}">
              <c16:uniqueId val="{0000001B-2792-4430-8568-3C5D7143BE50}"/>
            </c:ext>
          </c:extLst>
        </c:ser>
        <c:ser>
          <c:idx val="11"/>
          <c:order val="10"/>
          <c:tx>
            <c:strRef>
              <c:f>'Ch4. Applications leading Tech'!$BE$160</c:f>
              <c:strCache>
                <c:ptCount val="1"/>
                <c:pt idx="0">
                  <c:v>Electrical machinery, apparatus, energy</c:v>
                </c:pt>
              </c:strCache>
            </c:strRef>
          </c:tx>
          <c:spPr>
            <a:ln w="38100"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792-4430-8568-3C5D7143BE50}"/>
                </c:ext>
              </c:extLst>
            </c:dLbl>
            <c:dLbl>
              <c:idx val="9"/>
              <c:layout>
                <c:manualLayout>
                  <c:x val="6.9837381549110442E-2"/>
                  <c:y val="-1.4814814814814815E-2"/>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805083134895575"/>
                      <c:h val="0.10227792359288422"/>
                    </c:manualLayout>
                  </c15:layout>
                </c:ext>
                <c:ext xmlns:c16="http://schemas.microsoft.com/office/drawing/2014/chart" uri="{C3380CC4-5D6E-409C-BE32-E72D297353CC}">
                  <c16:uniqueId val="{00000002-1B18-4F73-87F0-E6BEC4B05C7C}"/>
                </c:ext>
              </c:extLst>
            </c:dLbl>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Tech'!$BF$160:$BP$160</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smooth val="0"/>
          <c:extLst>
            <c:ext xmlns:c16="http://schemas.microsoft.com/office/drawing/2014/chart" uri="{C3380CC4-5D6E-409C-BE32-E72D297353CC}">
              <c16:uniqueId val="{0000001E-2792-4430-8568-3C5D7143BE50}"/>
            </c:ext>
          </c:extLst>
        </c:ser>
        <c:ser>
          <c:idx val="10"/>
          <c:order val="11"/>
          <c:tx>
            <c:strRef>
              <c:f>'Ch4. Applications leading Tech'!$BE$161</c:f>
              <c:strCache>
                <c:ptCount val="1"/>
                <c:pt idx="0">
                  <c:v>Optics</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14-47AE-BAB9-337276E4AFC1}"/>
                </c:ext>
              </c:extLst>
            </c:dLbl>
            <c:dLbl>
              <c:idx val="8"/>
              <c:layout>
                <c:manualLayout>
                  <c:x val="0.13247656369288333"/>
                  <c:y val="0.25108923884514434"/>
                </c:manualLayout>
              </c:layout>
              <c:spPr>
                <a:noFill/>
                <a:ln>
                  <a:noFill/>
                </a:ln>
                <a:effectLst/>
              </c:spPr>
              <c:txPr>
                <a:bodyPr rot="0" spcFirstLastPara="1" vertOverflow="ellipsis" vert="horz" wrap="square" lIns="38100" tIns="19050" rIns="38100" bIns="19050" anchor="ctr" anchorCtr="1">
                  <a:spAutoFit/>
                </a:bodyPr>
                <a:lstStyle/>
                <a:p>
                  <a:pPr>
                    <a:defRPr sz="900" b="0" i="1"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1B18-4F73-87F0-E6BEC4B05C7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Tech'!$BF$149:$BP$149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Tech'!$BF$161:$BP$161</c:f>
              <c:numCache>
                <c:formatCode>General</c:formatCode>
                <c:ptCount val="11"/>
                <c:pt idx="0">
                  <c:v>10</c:v>
                </c:pt>
                <c:pt idx="1">
                  <c:v>12</c:v>
                </c:pt>
                <c:pt idx="2">
                  <c:v>12</c:v>
                </c:pt>
                <c:pt idx="3">
                  <c:v>12</c:v>
                </c:pt>
                <c:pt idx="4">
                  <c:v>12</c:v>
                </c:pt>
                <c:pt idx="5">
                  <c:v>12</c:v>
                </c:pt>
                <c:pt idx="6">
                  <c:v>12</c:v>
                </c:pt>
                <c:pt idx="7">
                  <c:v>12</c:v>
                </c:pt>
                <c:pt idx="8">
                  <c:v>12</c:v>
                </c:pt>
                <c:pt idx="9">
                  <c:v>12</c:v>
                </c:pt>
                <c:pt idx="10">
                  <c:v>18</c:v>
                </c:pt>
              </c:numCache>
            </c:numRef>
          </c:val>
          <c:smooth val="0"/>
          <c:extLst>
            <c:ext xmlns:c16="http://schemas.microsoft.com/office/drawing/2014/chart" uri="{C3380CC4-5D6E-409C-BE32-E72D297353CC}">
              <c16:uniqueId val="{0000000D-1B18-4F73-87F0-E6BEC4B05C7C}"/>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2017</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CE03-48F4-867C-4382BA3A1A26}"/>
              </c:ext>
            </c:extLst>
          </c:dPt>
          <c:dPt>
            <c:idx val="1"/>
            <c:bubble3D val="0"/>
            <c:spPr>
              <a:solidFill>
                <a:srgbClr val="FF0000"/>
              </a:solidFill>
              <a:ln>
                <a:solidFill>
                  <a:schemeClr val="bg1"/>
                </a:solidFill>
              </a:ln>
            </c:spPr>
            <c:extLst>
              <c:ext xmlns:c16="http://schemas.microsoft.com/office/drawing/2014/chart" uri="{C3380CC4-5D6E-409C-BE32-E72D297353CC}">
                <c16:uniqueId val="{00000003-CE03-48F4-867C-4382BA3A1A26}"/>
              </c:ext>
            </c:extLst>
          </c:dPt>
          <c:dPt>
            <c:idx val="2"/>
            <c:bubble3D val="0"/>
            <c:spPr>
              <a:solidFill>
                <a:srgbClr val="7030A0"/>
              </a:solidFill>
              <a:ln>
                <a:solidFill>
                  <a:schemeClr val="bg1"/>
                </a:solidFill>
              </a:ln>
            </c:spPr>
            <c:extLst>
              <c:ext xmlns:c16="http://schemas.microsoft.com/office/drawing/2014/chart" uri="{C3380CC4-5D6E-409C-BE32-E72D297353CC}">
                <c16:uniqueId val="{00000005-CE03-48F4-867C-4382BA3A1A26}"/>
              </c:ext>
            </c:extLst>
          </c:dPt>
          <c:dPt>
            <c:idx val="3"/>
            <c:bubble3D val="0"/>
            <c:spPr>
              <a:solidFill>
                <a:srgbClr val="FFC000"/>
              </a:solidFill>
              <a:ln>
                <a:solidFill>
                  <a:schemeClr val="bg1"/>
                </a:solidFill>
              </a:ln>
            </c:spPr>
            <c:extLst>
              <c:ext xmlns:c16="http://schemas.microsoft.com/office/drawing/2014/chart" uri="{C3380CC4-5D6E-409C-BE32-E72D297353CC}">
                <c16:uniqueId val="{00000007-CE03-48F4-867C-4382BA3A1A26}"/>
              </c:ext>
            </c:extLst>
          </c:dPt>
          <c:dPt>
            <c:idx val="4"/>
            <c:bubble3D val="0"/>
            <c:spPr>
              <a:solidFill>
                <a:srgbClr val="008000"/>
              </a:solidFill>
              <a:ln>
                <a:solidFill>
                  <a:schemeClr val="bg1"/>
                </a:solidFill>
              </a:ln>
            </c:spPr>
            <c:extLst>
              <c:ext xmlns:c16="http://schemas.microsoft.com/office/drawing/2014/chart" uri="{C3380CC4-5D6E-409C-BE32-E72D297353CC}">
                <c16:uniqueId val="{00000009-CE03-48F4-867C-4382BA3A1A26}"/>
              </c:ext>
            </c:extLst>
          </c:dPt>
          <c:dPt>
            <c:idx val="5"/>
            <c:bubble3D val="0"/>
            <c:spPr>
              <a:solidFill>
                <a:schemeClr val="accent2"/>
              </a:solidFill>
              <a:ln>
                <a:solidFill>
                  <a:schemeClr val="bg1"/>
                </a:solidFill>
              </a:ln>
            </c:spPr>
            <c:extLst>
              <c:ext xmlns:c16="http://schemas.microsoft.com/office/drawing/2014/chart" uri="{C3380CC4-5D6E-409C-BE32-E72D297353CC}">
                <c16:uniqueId val="{0000000B-CE03-48F4-867C-4382BA3A1A26}"/>
              </c:ext>
            </c:extLst>
          </c:dPt>
          <c:dLbls>
            <c:dLbl>
              <c:idx val="0"/>
              <c:layout>
                <c:manualLayout>
                  <c:x val="-0.20020774675892794"/>
                  <c:y val="0.17285780709123055"/>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127272727272726"/>
                      <c:h val="0.28706765691402547"/>
                    </c:manualLayout>
                  </c15:layout>
                </c:ext>
                <c:ext xmlns:c16="http://schemas.microsoft.com/office/drawing/2014/chart" uri="{C3380CC4-5D6E-409C-BE32-E72D297353CC}">
                  <c16:uniqueId val="{00000001-CE03-48F4-867C-4382BA3A1A26}"/>
                </c:ext>
              </c:extLst>
            </c:dLbl>
            <c:dLbl>
              <c:idx val="1"/>
              <c:layout>
                <c:manualLayout>
                  <c:x val="-0.17603944961425277"/>
                  <c:y val="-0.12903697703246078"/>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327272727272727"/>
                      <c:h val="0.23210944405079867"/>
                    </c:manualLayout>
                  </c15:layout>
                </c:ext>
                <c:ext xmlns:c16="http://schemas.microsoft.com/office/drawing/2014/chart" uri="{C3380CC4-5D6E-409C-BE32-E72D297353CC}">
                  <c16:uniqueId val="{00000003-CE03-48F4-867C-4382BA3A1A26}"/>
                </c:ext>
              </c:extLst>
            </c:dLbl>
            <c:dLbl>
              <c:idx val="3"/>
              <c:layout>
                <c:manualLayout>
                  <c:x val="0.1136177523264137"/>
                  <c:y val="-9.8290234760028058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165656565656564"/>
                      <c:h val="0.28706765691402547"/>
                    </c:manualLayout>
                  </c15:layout>
                </c:ext>
                <c:ext xmlns:c16="http://schemas.microsoft.com/office/drawing/2014/chart" uri="{C3380CC4-5D6E-409C-BE32-E72D297353CC}">
                  <c16:uniqueId val="{00000007-CE03-48F4-867C-4382BA3A1A26}"/>
                </c:ext>
              </c:extLst>
            </c:dLbl>
            <c:dLbl>
              <c:idx val="5"/>
              <c:layout>
                <c:manualLayout>
                  <c:x val="0.1299737532808399"/>
                  <c:y val="0.1102560458996341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242424242424243"/>
                      <c:h val="0.23210944405079867"/>
                    </c:manualLayout>
                  </c15:layout>
                </c:ext>
                <c:ext xmlns:c16="http://schemas.microsoft.com/office/drawing/2014/chart" uri="{C3380CC4-5D6E-409C-BE32-E72D297353CC}">
                  <c16:uniqueId val="{0000000B-CE03-48F4-867C-4382BA3A1A26}"/>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Patents-in-Force'!$T$8:$T$13</c:f>
              <c:numCache>
                <c:formatCode>#,##0</c:formatCode>
                <c:ptCount val="6"/>
                <c:pt idx="0">
                  <c:v>4361241</c:v>
                </c:pt>
                <c:pt idx="1">
                  <c:v>2013666</c:v>
                </c:pt>
                <c:pt idx="2">
                  <c:v>970889</c:v>
                </c:pt>
                <c:pt idx="3">
                  <c:v>2085367</c:v>
                </c:pt>
                <c:pt idx="4">
                  <c:v>2984825</c:v>
                </c:pt>
                <c:pt idx="5">
                  <c:v>1219971</c:v>
                </c:pt>
              </c:numCache>
            </c:numRef>
          </c:val>
          <c:extLst>
            <c:ext xmlns:c16="http://schemas.microsoft.com/office/drawing/2014/chart" uri="{C3380CC4-5D6E-409C-BE32-E72D297353CC}">
              <c16:uniqueId val="{0000000C-CE03-48F4-867C-4382BA3A1A2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CE03-48F4-867C-4382BA3A1A2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CE03-48F4-867C-4382BA3A1A2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CE03-48F4-867C-4382BA3A1A2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CE03-48F4-867C-4382BA3A1A2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CE03-48F4-867C-4382BA3A1A2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CE03-48F4-867C-4382BA3A1A26}"/>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CE03-48F4-867C-4382BA3A1A26}"/>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CNIPA - leading fields</a:t>
            </a:r>
          </a:p>
        </c:rich>
      </c:tx>
      <c:overlay val="0"/>
      <c:spPr>
        <a:noFill/>
        <a:ln>
          <a:noFill/>
        </a:ln>
        <a:effectLst/>
      </c:sp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Applications leading Tech'!$BU$150</c:f>
              <c:strCache>
                <c:ptCount val="1"/>
                <c:pt idx="0">
                  <c:v>Digital communication</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5C-456E-89F5-5AE09D176A9F}"/>
                </c:ext>
              </c:extLst>
            </c:dLbl>
            <c:dLbl>
              <c:idx val="9"/>
              <c:layout>
                <c:manualLayout>
                  <c:x val="7.0948146894539807E-2"/>
                  <c:y val="4.0882703514361476E-2"/>
                </c:manualLayout>
              </c:layout>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43F8-470F-B58B-76D808937236}"/>
                </c:ext>
              </c:extLst>
            </c:dLbl>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Tech'!$BV$150:$CF$150</c:f>
              <c:numCache>
                <c:formatCode>General</c:formatCode>
                <c:ptCount val="11"/>
                <c:pt idx="0">
                  <c:v>4</c:v>
                </c:pt>
                <c:pt idx="1">
                  <c:v>4</c:v>
                </c:pt>
                <c:pt idx="2">
                  <c:v>9</c:v>
                </c:pt>
                <c:pt idx="3">
                  <c:v>11</c:v>
                </c:pt>
                <c:pt idx="4">
                  <c:v>9</c:v>
                </c:pt>
                <c:pt idx="5">
                  <c:v>9</c:v>
                </c:pt>
                <c:pt idx="6">
                  <c:v>9</c:v>
                </c:pt>
                <c:pt idx="7">
                  <c:v>7</c:v>
                </c:pt>
                <c:pt idx="8">
                  <c:v>8</c:v>
                </c:pt>
                <c:pt idx="9">
                  <c:v>6</c:v>
                </c:pt>
                <c:pt idx="10">
                  <c:v>6</c:v>
                </c:pt>
              </c:numCache>
            </c:numRef>
          </c:val>
          <c:smooth val="0"/>
          <c:extLst>
            <c:ext xmlns:c16="http://schemas.microsoft.com/office/drawing/2014/chart" uri="{C3380CC4-5D6E-409C-BE32-E72D297353CC}">
              <c16:uniqueId val="{00000002-365C-456E-89F5-5AE09D176A9F}"/>
            </c:ext>
          </c:extLst>
        </c:ser>
        <c:ser>
          <c:idx val="1"/>
          <c:order val="1"/>
          <c:tx>
            <c:strRef>
              <c:f>'Ch4. Applications leading Tech'!$BU$151</c:f>
              <c:strCache>
                <c:ptCount val="1"/>
                <c:pt idx="0">
                  <c:v>Other special machines</c:v>
                </c:pt>
              </c:strCache>
            </c:strRef>
          </c:tx>
          <c:spPr>
            <a:ln w="38100" cap="rnd">
              <a:solidFill>
                <a:schemeClr val="accent2"/>
              </a:solidFill>
              <a:round/>
            </a:ln>
            <a:effectLst/>
          </c:spPr>
          <c:marker>
            <c:symbol val="none"/>
          </c:marker>
          <c:dLbls>
            <c:dLbl>
              <c:idx val="9"/>
              <c:layout>
                <c:manualLayout>
                  <c:x val="7.0948146894539807E-2"/>
                  <c:y val="4.8315922335154471E-2"/>
                </c:manualLayout>
              </c:layout>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Tech'!$BV$151:$CF$151</c:f>
              <c:numCache>
                <c:formatCode>General</c:formatCode>
                <c:ptCount val="11"/>
                <c:pt idx="0">
                  <c:v>11</c:v>
                </c:pt>
                <c:pt idx="1">
                  <c:v>9</c:v>
                </c:pt>
                <c:pt idx="2">
                  <c:v>8</c:v>
                </c:pt>
                <c:pt idx="3">
                  <c:v>7</c:v>
                </c:pt>
                <c:pt idx="4">
                  <c:v>6</c:v>
                </c:pt>
                <c:pt idx="5">
                  <c:v>5</c:v>
                </c:pt>
                <c:pt idx="6">
                  <c:v>5</c:v>
                </c:pt>
                <c:pt idx="7">
                  <c:v>6</c:v>
                </c:pt>
                <c:pt idx="8">
                  <c:v>6</c:v>
                </c:pt>
                <c:pt idx="9">
                  <c:v>10</c:v>
                </c:pt>
                <c:pt idx="10">
                  <c:v>11</c:v>
                </c:pt>
              </c:numCache>
            </c:numRef>
          </c:val>
          <c:smooth val="0"/>
          <c:extLst>
            <c:ext xmlns:c16="http://schemas.microsoft.com/office/drawing/2014/chart" uri="{C3380CC4-5D6E-409C-BE32-E72D297353CC}">
              <c16:uniqueId val="{00000005-365C-456E-89F5-5AE09D176A9F}"/>
            </c:ext>
          </c:extLst>
        </c:ser>
        <c:ser>
          <c:idx val="2"/>
          <c:order val="2"/>
          <c:tx>
            <c:strRef>
              <c:f>'Ch4. Applications leading Tech'!$BU$152</c:f>
              <c:strCache>
                <c:ptCount val="1"/>
                <c:pt idx="0">
                  <c:v>Civil engineering</c:v>
                </c:pt>
              </c:strCache>
            </c:strRef>
          </c:tx>
          <c:spPr>
            <a:ln w="38100" cap="rnd">
              <a:solidFill>
                <a:schemeClr val="accent3"/>
              </a:solidFill>
              <a:round/>
            </a:ln>
            <a:effectLst/>
          </c:spPr>
          <c:marker>
            <c:symbol val="none"/>
          </c:marker>
          <c:dLbls>
            <c:dLbl>
              <c:idx val="0"/>
              <c:tx>
                <c:rich>
                  <a:bodyPr/>
                  <a:lstStyle/>
                  <a:p>
                    <a:fld id="{BB5DAD26-6E81-417A-A69F-1D33A603459C}" type="VALUE">
                      <a:rPr lang="en-US" baseline="0"/>
                      <a:pPr/>
                      <a:t>[VALUE]</a:t>
                    </a:fld>
                    <a:endParaRPr lang="en-US"/>
                  </a:p>
                </c:rich>
              </c:tx>
              <c:dLblPos val="l"/>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43F8-470F-B58B-76D808937236}"/>
                </c:ext>
              </c:extLst>
            </c:dLbl>
            <c:dLbl>
              <c:idx val="1"/>
              <c:delete val="1"/>
              <c:extLst>
                <c:ext xmlns:c15="http://schemas.microsoft.com/office/drawing/2012/chart" uri="{CE6537A1-D6FC-4f65-9D91-7224C49458BB}"/>
                <c:ext xmlns:c16="http://schemas.microsoft.com/office/drawing/2014/chart" uri="{C3380CC4-5D6E-409C-BE32-E72D297353CC}">
                  <c16:uniqueId val="{00000016-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18-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17-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1A-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19-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1B-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1C-F980-48A1-AF2F-2B8632540D32}"/>
                </c:ext>
              </c:extLst>
            </c:dLbl>
            <c:dLbl>
              <c:idx val="8"/>
              <c:layout>
                <c:manualLayout>
                  <c:x val="0.13563616318073785"/>
                  <c:y val="8.548201643911938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1D-F980-48A1-AF2F-2B8632540D32}"/>
                </c:ext>
              </c:extLst>
            </c:dLbl>
            <c:dLbl>
              <c:idx val="10"/>
              <c:delete val="1"/>
              <c:extLst>
                <c:ext xmlns:c15="http://schemas.microsoft.com/office/drawing/2012/chart" uri="{CE6537A1-D6FC-4f65-9D91-7224C49458BB}"/>
                <c:ext xmlns:c16="http://schemas.microsoft.com/office/drawing/2014/chart" uri="{C3380CC4-5D6E-409C-BE32-E72D297353CC}">
                  <c16:uniqueId val="{0000001E-F980-48A1-AF2F-2B8632540D32}"/>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Tech'!$BV$152:$CF$152</c:f>
              <c:numCache>
                <c:formatCode>General</c:formatCode>
                <c:ptCount val="11"/>
                <c:pt idx="0">
                  <c:v>7</c:v>
                </c:pt>
                <c:pt idx="1">
                  <c:v>8</c:v>
                </c:pt>
                <c:pt idx="2">
                  <c:v>11</c:v>
                </c:pt>
                <c:pt idx="3">
                  <c:v>9</c:v>
                </c:pt>
                <c:pt idx="4">
                  <c:v>7</c:v>
                </c:pt>
                <c:pt idx="5">
                  <c:v>10</c:v>
                </c:pt>
                <c:pt idx="6">
                  <c:v>10</c:v>
                </c:pt>
                <c:pt idx="7">
                  <c:v>4</c:v>
                </c:pt>
                <c:pt idx="8">
                  <c:v>4</c:v>
                </c:pt>
                <c:pt idx="9">
                  <c:v>11</c:v>
                </c:pt>
                <c:pt idx="10">
                  <c:v>6</c:v>
                </c:pt>
              </c:numCache>
            </c:numRef>
          </c:val>
          <c:smooth val="0"/>
          <c:extLst>
            <c:ext xmlns:c16="http://schemas.microsoft.com/office/drawing/2014/chart" uri="{C3380CC4-5D6E-409C-BE32-E72D297353CC}">
              <c16:uniqueId val="{00000007-365C-456E-89F5-5AE09D176A9F}"/>
            </c:ext>
          </c:extLst>
        </c:ser>
        <c:ser>
          <c:idx val="3"/>
          <c:order val="3"/>
          <c:tx>
            <c:strRef>
              <c:f>'Ch4. Applications leading Tech'!$BU$153</c:f>
              <c:strCache>
                <c:ptCount val="1"/>
                <c:pt idx="0">
                  <c:v>Machine tools</c:v>
                </c:pt>
              </c:strCache>
            </c:strRef>
          </c:tx>
          <c:spPr>
            <a:ln w="38100" cap="rnd">
              <a:solidFill>
                <a:schemeClr val="accent4"/>
              </a:solidFill>
              <a:round/>
            </a:ln>
            <a:effectLst/>
          </c:spPr>
          <c:marker>
            <c:symbol val="none"/>
          </c:marker>
          <c:dLbls>
            <c:dLbl>
              <c:idx val="0"/>
              <c:tx>
                <c:rich>
                  <a:bodyPr/>
                  <a:lstStyle/>
                  <a:p>
                    <a:fld id="{AFE6790C-ECB7-49DD-80EA-26A60314397A}" type="VALUE">
                      <a:rPr lang="en-US" baseline="0"/>
                      <a:pPr/>
                      <a:t>[VALUE]</a:t>
                    </a:fld>
                    <a:endParaRPr lang="en-US"/>
                  </a:p>
                </c:rich>
              </c:tx>
              <c:dLblPos val="l"/>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365C-456E-89F5-5AE09D176A9F}"/>
                </c:ext>
              </c:extLst>
            </c:dLbl>
            <c:dLbl>
              <c:idx val="1"/>
              <c:delete val="1"/>
              <c:extLst>
                <c:ext xmlns:c15="http://schemas.microsoft.com/office/drawing/2012/chart" uri="{CE6537A1-D6FC-4f65-9D91-7224C49458BB}"/>
                <c:ext xmlns:c16="http://schemas.microsoft.com/office/drawing/2014/chart" uri="{C3380CC4-5D6E-409C-BE32-E72D297353CC}">
                  <c16:uniqueId val="{0000000C-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0D-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0E-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0F-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10-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12-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11-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13-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15-F980-48A1-AF2F-2B8632540D32}"/>
                </c:ext>
              </c:extLst>
            </c:dLbl>
            <c:dLbl>
              <c:idx val="10"/>
              <c:layout>
                <c:manualLayout>
                  <c:x val="4.1734204055611651E-3"/>
                  <c:y val="1.114982823118942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F980-48A1-AF2F-2B8632540D32}"/>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Tech'!$BV$153:$CF$153</c:f>
              <c:numCache>
                <c:formatCode>General</c:formatCode>
                <c:ptCount val="11"/>
                <c:pt idx="0">
                  <c:v>5</c:v>
                </c:pt>
                <c:pt idx="1">
                  <c:v>5</c:v>
                </c:pt>
                <c:pt idx="2">
                  <c:v>7</c:v>
                </c:pt>
                <c:pt idx="3">
                  <c:v>6</c:v>
                </c:pt>
                <c:pt idx="4">
                  <c:v>4</c:v>
                </c:pt>
                <c:pt idx="5">
                  <c:v>6</c:v>
                </c:pt>
                <c:pt idx="6">
                  <c:v>6</c:v>
                </c:pt>
                <c:pt idx="7">
                  <c:v>5</c:v>
                </c:pt>
                <c:pt idx="8">
                  <c:v>5</c:v>
                </c:pt>
                <c:pt idx="9">
                  <c:v>11</c:v>
                </c:pt>
                <c:pt idx="10">
                  <c:v>5</c:v>
                </c:pt>
              </c:numCache>
            </c:numRef>
          </c:val>
          <c:smooth val="0"/>
          <c:extLst>
            <c:ext xmlns:c16="http://schemas.microsoft.com/office/drawing/2014/chart" uri="{C3380CC4-5D6E-409C-BE32-E72D297353CC}">
              <c16:uniqueId val="{0000000A-365C-456E-89F5-5AE09D176A9F}"/>
            </c:ext>
          </c:extLst>
        </c:ser>
        <c:ser>
          <c:idx val="4"/>
          <c:order val="4"/>
          <c:tx>
            <c:strRef>
              <c:f>'Ch4. Applications leading Tech'!$BU$154</c:f>
              <c:strCache>
                <c:ptCount val="1"/>
                <c:pt idx="0">
                  <c:v>Basic materials chemistry </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5C-456E-89F5-5AE09D176A9F}"/>
                </c:ext>
              </c:extLst>
            </c:dLbl>
            <c:dLbl>
              <c:idx val="9"/>
              <c:layout>
                <c:manualLayout>
                  <c:x val="7.1229113386410109E-2"/>
                  <c:y val="-2.6016412195980616E-2"/>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435738773458032"/>
                      <c:h val="5.5637642873635561E-2"/>
                    </c:manualLayout>
                  </c15:layout>
                </c:ext>
                <c:ext xmlns:c16="http://schemas.microsoft.com/office/drawing/2014/chart" uri="{C3380CC4-5D6E-409C-BE32-E72D297353CC}">
                  <c16:uniqueId val="{0000000F-43F8-470F-B58B-76D8089372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Tech'!$BV$154:$CF$154</c:f>
              <c:numCache>
                <c:formatCode>General</c:formatCode>
                <c:ptCount val="11"/>
                <c:pt idx="0">
                  <c:v>9</c:v>
                </c:pt>
                <c:pt idx="1">
                  <c:v>6</c:v>
                </c:pt>
                <c:pt idx="2">
                  <c:v>6</c:v>
                </c:pt>
                <c:pt idx="3">
                  <c:v>8</c:v>
                </c:pt>
                <c:pt idx="4">
                  <c:v>11</c:v>
                </c:pt>
                <c:pt idx="5">
                  <c:v>7</c:v>
                </c:pt>
                <c:pt idx="6">
                  <c:v>7</c:v>
                </c:pt>
                <c:pt idx="7">
                  <c:v>11</c:v>
                </c:pt>
                <c:pt idx="8">
                  <c:v>11</c:v>
                </c:pt>
                <c:pt idx="9">
                  <c:v>5</c:v>
                </c:pt>
                <c:pt idx="10">
                  <c:v>5</c:v>
                </c:pt>
              </c:numCache>
            </c:numRef>
          </c:val>
          <c:smooth val="0"/>
          <c:extLst>
            <c:ext xmlns:c16="http://schemas.microsoft.com/office/drawing/2014/chart" uri="{C3380CC4-5D6E-409C-BE32-E72D297353CC}">
              <c16:uniqueId val="{0000000C-365C-456E-89F5-5AE09D176A9F}"/>
            </c:ext>
          </c:extLst>
        </c:ser>
        <c:ser>
          <c:idx val="5"/>
          <c:order val="5"/>
          <c:tx>
            <c:strRef>
              <c:f>'Ch4. Applications leading Tech'!$BU$155</c:f>
              <c:strCache>
                <c:ptCount val="1"/>
                <c:pt idx="0">
                  <c:v>Food chemistry</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65C-456E-89F5-5AE09D176A9F}"/>
                </c:ext>
              </c:extLst>
            </c:dLbl>
            <c:dLbl>
              <c:idx val="9"/>
              <c:delete val="1"/>
              <c:extLst>
                <c:ext xmlns:c15="http://schemas.microsoft.com/office/drawing/2012/chart" uri="{CE6537A1-D6FC-4f65-9D91-7224C49458BB}">
                  <c15:layout>
                    <c:manualLayout>
                      <c:w val="0.26021972643697389"/>
                      <c:h val="0.11765414258188825"/>
                    </c:manualLayout>
                  </c15:layout>
                </c:ext>
                <c:ext xmlns:c16="http://schemas.microsoft.com/office/drawing/2014/chart" uri="{C3380CC4-5D6E-409C-BE32-E72D297353CC}">
                  <c16:uniqueId val="{0000000D-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Tech'!$BV$155:$CE$155</c:f>
              <c:numCache>
                <c:formatCode>General</c:formatCode>
                <c:ptCount val="10"/>
                <c:pt idx="0">
                  <c:v>10</c:v>
                </c:pt>
                <c:pt idx="1">
                  <c:v>7</c:v>
                </c:pt>
                <c:pt idx="2">
                  <c:v>4</c:v>
                </c:pt>
                <c:pt idx="3">
                  <c:v>5</c:v>
                </c:pt>
                <c:pt idx="4">
                  <c:v>5</c:v>
                </c:pt>
                <c:pt idx="5">
                  <c:v>8</c:v>
                </c:pt>
                <c:pt idx="6">
                  <c:v>8</c:v>
                </c:pt>
                <c:pt idx="7">
                  <c:v>11</c:v>
                </c:pt>
                <c:pt idx="8">
                  <c:v>11</c:v>
                </c:pt>
                <c:pt idx="9">
                  <c:v>11</c:v>
                </c:pt>
              </c:numCache>
            </c:numRef>
          </c:val>
          <c:smooth val="0"/>
          <c:extLst>
            <c:ext xmlns:c16="http://schemas.microsoft.com/office/drawing/2014/chart" uri="{C3380CC4-5D6E-409C-BE32-E72D297353CC}">
              <c16:uniqueId val="{0000000E-365C-456E-89F5-5AE09D176A9F}"/>
            </c:ext>
          </c:extLst>
        </c:ser>
        <c:ser>
          <c:idx val="7"/>
          <c:order val="6"/>
          <c:tx>
            <c:strRef>
              <c:f>'Ch4. Applications leading Tech'!$BU$157</c:f>
              <c:strCache>
                <c:ptCount val="1"/>
                <c:pt idx="0">
                  <c:v>Measurement</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5C-456E-89F5-5AE09D176A9F}"/>
                </c:ext>
              </c:extLst>
            </c:dLbl>
            <c:dLbl>
              <c:idx val="9"/>
              <c:layout>
                <c:manualLayout>
                  <c:x val="7.0948146894539807E-2"/>
                  <c:y val="-0.2824623151901338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43F8-470F-B58B-76D8089372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Tech'!$BV$157:$CF$157</c:f>
              <c:numCache>
                <c:formatCode>General</c:formatCode>
                <c:ptCount val="11"/>
                <c:pt idx="0">
                  <c:v>2</c:v>
                </c:pt>
                <c:pt idx="1">
                  <c:v>3</c:v>
                </c:pt>
                <c:pt idx="2">
                  <c:v>3</c:v>
                </c:pt>
                <c:pt idx="3">
                  <c:v>3</c:v>
                </c:pt>
                <c:pt idx="4">
                  <c:v>3</c:v>
                </c:pt>
                <c:pt idx="5">
                  <c:v>3</c:v>
                </c:pt>
                <c:pt idx="6">
                  <c:v>3</c:v>
                </c:pt>
                <c:pt idx="7">
                  <c:v>2</c:v>
                </c:pt>
                <c:pt idx="8">
                  <c:v>2</c:v>
                </c:pt>
                <c:pt idx="9">
                  <c:v>8</c:v>
                </c:pt>
                <c:pt idx="10">
                  <c:v>2</c:v>
                </c:pt>
              </c:numCache>
            </c:numRef>
          </c:val>
          <c:smooth val="0"/>
          <c:extLst>
            <c:ext xmlns:c16="http://schemas.microsoft.com/office/drawing/2014/chart" uri="{C3380CC4-5D6E-409C-BE32-E72D297353CC}">
              <c16:uniqueId val="{00000012-365C-456E-89F5-5AE09D176A9F}"/>
            </c:ext>
          </c:extLst>
        </c:ser>
        <c:ser>
          <c:idx val="8"/>
          <c:order val="7"/>
          <c:tx>
            <c:strRef>
              <c:f>'Ch4. Applications leading Tech'!$BU$158</c:f>
              <c:strCache>
                <c:ptCount val="1"/>
                <c:pt idx="0">
                  <c:v>Materials, metallurgy</c:v>
                </c:pt>
              </c:strCache>
            </c:strRef>
          </c:tx>
          <c:spPr>
            <a:ln w="38100" cap="rnd">
              <a:solidFill>
                <a:schemeClr val="accent3">
                  <a:lumMod val="60000"/>
                </a:schemeClr>
              </a:solidFill>
              <a:round/>
            </a:ln>
            <a:effectLst/>
          </c:spPr>
          <c:marker>
            <c:symbol val="none"/>
          </c:marker>
          <c:dLbls>
            <c:dLbl>
              <c:idx val="0"/>
              <c:tx>
                <c:rich>
                  <a:bodyPr/>
                  <a:lstStyle/>
                  <a:p>
                    <a:fld id="{665DFBC5-B15F-4205-8C3C-771C99B25807}" type="VALUE">
                      <a:rPr lang="en-US" baseline="0"/>
                      <a:pPr/>
                      <a:t>[VALUE]</a:t>
                    </a:fld>
                    <a:endParaRPr lang="en-US"/>
                  </a:p>
                </c:rich>
              </c:tx>
              <c:dLblPos val="l"/>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365C-456E-89F5-5AE09D176A9F}"/>
                </c:ext>
              </c:extLst>
            </c:dLbl>
            <c:dLbl>
              <c:idx val="1"/>
              <c:delete val="1"/>
              <c:extLst>
                <c:ext xmlns:c15="http://schemas.microsoft.com/office/drawing/2012/chart" uri="{CE6537A1-D6FC-4f65-9D91-7224C49458BB}"/>
                <c:ext xmlns:c16="http://schemas.microsoft.com/office/drawing/2014/chart" uri="{C3380CC4-5D6E-409C-BE32-E72D297353CC}">
                  <c16:uniqueId val="{00000020-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21-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22-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23-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24-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25-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26-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27-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28-F980-48A1-AF2F-2B8632540D32}"/>
                </c:ext>
              </c:extLst>
            </c:dLbl>
            <c:dLbl>
              <c:idx val="10"/>
              <c:layout>
                <c:manualLayout>
                  <c:x val="1.0433551013902913E-3"/>
                  <c:y val="7.433365143998129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18540420151705475"/>
                      <c:h val="6.1844380588997716E-2"/>
                    </c:manualLayout>
                  </c15:layout>
                </c:ext>
                <c:ext xmlns:c16="http://schemas.microsoft.com/office/drawing/2014/chart" uri="{C3380CC4-5D6E-409C-BE32-E72D297353CC}">
                  <c16:uniqueId val="{00000029-F980-48A1-AF2F-2B8632540D32}"/>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Tech'!$BV$158:$CF$158</c:f>
              <c:numCache>
                <c:formatCode>General</c:formatCode>
                <c:ptCount val="11"/>
                <c:pt idx="0">
                  <c:v>6</c:v>
                </c:pt>
                <c:pt idx="1">
                  <c:v>11</c:v>
                </c:pt>
                <c:pt idx="2">
                  <c:v>10</c:v>
                </c:pt>
                <c:pt idx="3">
                  <c:v>10</c:v>
                </c:pt>
                <c:pt idx="4">
                  <c:v>11</c:v>
                </c:pt>
                <c:pt idx="5">
                  <c:v>11</c:v>
                </c:pt>
                <c:pt idx="6">
                  <c:v>11</c:v>
                </c:pt>
                <c:pt idx="7">
                  <c:v>11</c:v>
                </c:pt>
                <c:pt idx="8">
                  <c:v>11</c:v>
                </c:pt>
                <c:pt idx="9">
                  <c:v>11</c:v>
                </c:pt>
                <c:pt idx="10">
                  <c:v>13</c:v>
                </c:pt>
              </c:numCache>
            </c:numRef>
          </c:val>
          <c:smooth val="0"/>
          <c:extLst>
            <c:ext xmlns:c16="http://schemas.microsoft.com/office/drawing/2014/chart" uri="{C3380CC4-5D6E-409C-BE32-E72D297353CC}">
              <c16:uniqueId val="{00000015-365C-456E-89F5-5AE09D176A9F}"/>
            </c:ext>
          </c:extLst>
        </c:ser>
        <c:ser>
          <c:idx val="9"/>
          <c:order val="8"/>
          <c:tx>
            <c:strRef>
              <c:f>'Ch4. Applications leading Tech'!$BU$159</c:f>
              <c:strCache>
                <c:ptCount val="1"/>
                <c:pt idx="0">
                  <c:v>Handling</c:v>
                </c:pt>
              </c:strCache>
            </c:strRef>
          </c:tx>
          <c:spPr>
            <a:ln w="38100" cap="rnd">
              <a:solidFill>
                <a:schemeClr val="accent4">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B-F980-48A1-AF2F-2B8632540D32}"/>
                </c:ext>
              </c:extLst>
            </c:dLbl>
            <c:dLbl>
              <c:idx val="1"/>
              <c:delete val="1"/>
              <c:extLst>
                <c:ext xmlns:c15="http://schemas.microsoft.com/office/drawing/2012/chart" uri="{CE6537A1-D6FC-4f65-9D91-7224C49458BB}"/>
                <c:ext xmlns:c16="http://schemas.microsoft.com/office/drawing/2014/chart" uri="{C3380CC4-5D6E-409C-BE32-E72D297353CC}">
                  <c16:uniqueId val="{0000002C-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2D-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2E-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2F-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30-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31-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32-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33-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34-F980-48A1-AF2F-2B8632540D32}"/>
                </c:ext>
              </c:extLst>
            </c:dLbl>
            <c:dLbl>
              <c:idx val="10"/>
              <c:layout>
                <c:manualLayout>
                  <c:x val="6.2601306083417477E-3"/>
                  <c:y val="3.7166094103963615E-3"/>
                </c:manualLayout>
              </c:layout>
              <c:tx>
                <c:rich>
                  <a:bodyPr wrap="square" lIns="38100" tIns="19050" rIns="38100" bIns="19050" anchor="ctr">
                    <a:spAutoFit/>
                  </a:bodyPr>
                  <a:lstStyle/>
                  <a:p>
                    <a:pPr>
                      <a:defRPr sz="900"/>
                    </a:pPr>
                    <a:r>
                      <a:rPr lang="en-US" sz="900"/>
                      <a:t>Handling</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980-48A1-AF2F-2B8632540D3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Tech'!$BV$159:$CF$159</c:f>
              <c:numCache>
                <c:formatCode>General</c:formatCode>
                <c:ptCount val="11"/>
                <c:pt idx="0">
                  <c:v>11</c:v>
                </c:pt>
                <c:pt idx="1">
                  <c:v>11</c:v>
                </c:pt>
                <c:pt idx="2">
                  <c:v>11</c:v>
                </c:pt>
                <c:pt idx="3">
                  <c:v>11</c:v>
                </c:pt>
                <c:pt idx="4">
                  <c:v>11</c:v>
                </c:pt>
                <c:pt idx="5">
                  <c:v>11</c:v>
                </c:pt>
                <c:pt idx="6">
                  <c:v>11</c:v>
                </c:pt>
                <c:pt idx="7">
                  <c:v>10</c:v>
                </c:pt>
                <c:pt idx="8">
                  <c:v>9</c:v>
                </c:pt>
                <c:pt idx="9">
                  <c:v>11</c:v>
                </c:pt>
                <c:pt idx="10">
                  <c:v>12</c:v>
                </c:pt>
              </c:numCache>
            </c:numRef>
          </c:val>
          <c:smooth val="0"/>
          <c:extLst>
            <c:ext xmlns:c16="http://schemas.microsoft.com/office/drawing/2014/chart" uri="{C3380CC4-5D6E-409C-BE32-E72D297353CC}">
              <c16:uniqueId val="{00000017-365C-456E-89F5-5AE09D176A9F}"/>
            </c:ext>
          </c:extLst>
        </c:ser>
        <c:ser>
          <c:idx val="10"/>
          <c:order val="9"/>
          <c:tx>
            <c:strRef>
              <c:f>'Ch4. Applications leading Tech'!$BU$160</c:f>
              <c:strCache>
                <c:ptCount val="1"/>
                <c:pt idx="0">
                  <c:v>Electrical machinery, apparatus, energy</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F8-470F-B58B-76D808937236}"/>
                </c:ext>
              </c:extLst>
            </c:dLbl>
            <c:dLbl>
              <c:idx val="9"/>
              <c:layout>
                <c:manualLayout>
                  <c:x val="7.0948146894539807E-2"/>
                  <c:y val="-3.7166094103965319E-3"/>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Tech'!$BV$160:$CF$160</c:f>
              <c:numCache>
                <c:formatCode>General</c:formatCode>
                <c:ptCount val="11"/>
                <c:pt idx="0">
                  <c:v>1</c:v>
                </c:pt>
                <c:pt idx="1">
                  <c:v>1</c:v>
                </c:pt>
                <c:pt idx="2">
                  <c:v>1</c:v>
                </c:pt>
                <c:pt idx="3">
                  <c:v>1</c:v>
                </c:pt>
                <c:pt idx="4">
                  <c:v>1</c:v>
                </c:pt>
                <c:pt idx="5">
                  <c:v>2</c:v>
                </c:pt>
                <c:pt idx="6">
                  <c:v>2</c:v>
                </c:pt>
                <c:pt idx="7">
                  <c:v>3</c:v>
                </c:pt>
                <c:pt idx="8">
                  <c:v>3</c:v>
                </c:pt>
                <c:pt idx="9">
                  <c:v>3</c:v>
                </c:pt>
                <c:pt idx="10">
                  <c:v>3</c:v>
                </c:pt>
              </c:numCache>
            </c:numRef>
          </c:val>
          <c:smooth val="0"/>
          <c:extLst>
            <c:ext xmlns:c16="http://schemas.microsoft.com/office/drawing/2014/chart" uri="{C3380CC4-5D6E-409C-BE32-E72D297353CC}">
              <c16:uniqueId val="{00000019-365C-456E-89F5-5AE09D176A9F}"/>
            </c:ext>
          </c:extLst>
        </c:ser>
        <c:ser>
          <c:idx val="11"/>
          <c:order val="10"/>
          <c:tx>
            <c:strRef>
              <c:f>'Ch4. Applications leading Tech'!$BU$161</c:f>
              <c:strCache>
                <c:ptCount val="1"/>
                <c:pt idx="0">
                  <c:v>Transport</c:v>
                </c:pt>
              </c:strCache>
            </c:strRef>
          </c:tx>
          <c:spPr>
            <a:ln w="38100" cap="rnd">
              <a:solidFill>
                <a:schemeClr val="accent6">
                  <a:lumMod val="60000"/>
                </a:schemeClr>
              </a:solidFill>
              <a:round/>
            </a:ln>
            <a:effectLst/>
          </c:spPr>
          <c:marker>
            <c:symbol val="none"/>
          </c:marker>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Tech'!$BV$161:$CE$161</c:f>
              <c:numCache>
                <c:formatCode>General</c:formatCode>
                <c:ptCount val="10"/>
                <c:pt idx="0">
                  <c:v>11</c:v>
                </c:pt>
                <c:pt idx="1">
                  <c:v>11</c:v>
                </c:pt>
                <c:pt idx="2">
                  <c:v>11</c:v>
                </c:pt>
                <c:pt idx="3">
                  <c:v>11</c:v>
                </c:pt>
                <c:pt idx="4">
                  <c:v>11</c:v>
                </c:pt>
                <c:pt idx="5">
                  <c:v>11</c:v>
                </c:pt>
                <c:pt idx="6">
                  <c:v>11</c:v>
                </c:pt>
                <c:pt idx="7">
                  <c:v>8</c:v>
                </c:pt>
                <c:pt idx="8">
                  <c:v>10</c:v>
                </c:pt>
                <c:pt idx="9">
                  <c:v>11</c:v>
                </c:pt>
              </c:numCache>
            </c:numRef>
          </c:val>
          <c:smooth val="0"/>
          <c:extLst>
            <c:ext xmlns:c16="http://schemas.microsoft.com/office/drawing/2014/chart" uri="{C3380CC4-5D6E-409C-BE32-E72D297353CC}">
              <c16:uniqueId val="{0000001B-365C-456E-89F5-5AE09D176A9F}"/>
            </c:ext>
          </c:extLst>
        </c:ser>
        <c:ser>
          <c:idx val="12"/>
          <c:order val="11"/>
          <c:tx>
            <c:strRef>
              <c:f>'Ch4. Applications leading Tech'!$BU$162</c:f>
              <c:strCache>
                <c:ptCount val="1"/>
                <c:pt idx="0">
                  <c:v>Chemical engineering</c:v>
                </c:pt>
              </c:strCache>
            </c:strRef>
          </c:tx>
          <c:spPr>
            <a:ln w="38100" cap="rnd">
              <a:solidFill>
                <a:schemeClr val="accent1">
                  <a:lumMod val="80000"/>
                  <a:lumOff val="2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47-F980-48A1-AF2F-2B8632540D32}"/>
                </c:ext>
              </c:extLst>
            </c:dLbl>
            <c:dLbl>
              <c:idx val="1"/>
              <c:delete val="1"/>
              <c:extLst>
                <c:ext xmlns:c15="http://schemas.microsoft.com/office/drawing/2012/chart" uri="{CE6537A1-D6FC-4f65-9D91-7224C49458BB}"/>
                <c:ext xmlns:c16="http://schemas.microsoft.com/office/drawing/2014/chart" uri="{C3380CC4-5D6E-409C-BE32-E72D297353CC}">
                  <c16:uniqueId val="{00000046-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45-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44-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43-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42-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41-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49-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48-F980-48A1-AF2F-2B8632540D32}"/>
                </c:ext>
              </c:extLst>
            </c:dLbl>
            <c:dLbl>
              <c:idx val="9"/>
              <c:layout>
                <c:manualLayout>
                  <c:x val="7.303485709732023E-2"/>
                  <c:y val="-6.689896938713696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A-F980-48A1-AF2F-2B8632540D32}"/>
                </c:ext>
              </c:extLst>
            </c:dLbl>
            <c:dLbl>
              <c:idx val="10"/>
              <c:delete val="1"/>
              <c:extLst>
                <c:ext xmlns:c15="http://schemas.microsoft.com/office/drawing/2012/chart" uri="{CE6537A1-D6FC-4f65-9D91-7224C49458BB}">
                  <c15:layout>
                    <c:manualLayout>
                      <c:w val="0.1942101185727888"/>
                      <c:h val="6.0227801818680378E-2"/>
                    </c:manualLayout>
                  </c15:layout>
                </c:ext>
                <c:ext xmlns:c16="http://schemas.microsoft.com/office/drawing/2014/chart" uri="{C3380CC4-5D6E-409C-BE32-E72D297353CC}">
                  <c16:uniqueId val="{00000040-F980-48A1-AF2F-2B8632540D3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Tech'!$BV$162:$CF$162</c:f>
              <c:numCache>
                <c:formatCode>General</c:formatCode>
                <c:ptCount val="11"/>
                <c:pt idx="0">
                  <c:v>11</c:v>
                </c:pt>
                <c:pt idx="1">
                  <c:v>11</c:v>
                </c:pt>
                <c:pt idx="2">
                  <c:v>11</c:v>
                </c:pt>
                <c:pt idx="3">
                  <c:v>11</c:v>
                </c:pt>
                <c:pt idx="4">
                  <c:v>11</c:v>
                </c:pt>
                <c:pt idx="5">
                  <c:v>11</c:v>
                </c:pt>
                <c:pt idx="6">
                  <c:v>11</c:v>
                </c:pt>
                <c:pt idx="7">
                  <c:v>9</c:v>
                </c:pt>
                <c:pt idx="8">
                  <c:v>7</c:v>
                </c:pt>
                <c:pt idx="9">
                  <c:v>11</c:v>
                </c:pt>
                <c:pt idx="10">
                  <c:v>7</c:v>
                </c:pt>
              </c:numCache>
            </c:numRef>
          </c:val>
          <c:smooth val="0"/>
          <c:extLst>
            <c:ext xmlns:c16="http://schemas.microsoft.com/office/drawing/2014/chart" uri="{C3380CC4-5D6E-409C-BE32-E72D297353CC}">
              <c16:uniqueId val="{0000001E-365C-456E-89F5-5AE09D176A9F}"/>
            </c:ext>
          </c:extLst>
        </c:ser>
        <c:ser>
          <c:idx val="13"/>
          <c:order val="12"/>
          <c:tx>
            <c:strRef>
              <c:f>'Ch4. Applications leading Tech'!$BU$163</c:f>
              <c:strCache>
                <c:ptCount val="1"/>
                <c:pt idx="0">
                  <c:v>Computer technology</c:v>
                </c:pt>
              </c:strCache>
            </c:strRef>
          </c:tx>
          <c:spPr>
            <a:ln w="38100" cap="rnd">
              <a:solidFill>
                <a:schemeClr val="accent2">
                  <a:lumMod val="80000"/>
                  <a:lumOff val="2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65C-456E-89F5-5AE09D176A9F}"/>
                </c:ext>
              </c:extLst>
            </c:dLbl>
            <c:dLbl>
              <c:idx val="1"/>
              <c:delete val="1"/>
              <c:extLst>
                <c:ext xmlns:c15="http://schemas.microsoft.com/office/drawing/2012/chart" uri="{CE6537A1-D6FC-4f65-9D91-7224C49458BB}"/>
                <c:ext xmlns:c16="http://schemas.microsoft.com/office/drawing/2014/chart" uri="{C3380CC4-5D6E-409C-BE32-E72D297353CC}">
                  <c16:uniqueId val="{00000002-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03-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04-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05-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06-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07-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08-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09-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0B-F980-48A1-AF2F-2B8632540D32}"/>
                </c:ext>
              </c:extLst>
            </c:dLbl>
            <c:dLbl>
              <c:idx val="10"/>
              <c:layout>
                <c:manualLayout>
                  <c:x val="2.0867102027805826E-3"/>
                  <c:y val="-2.601626587277548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fld id="{9520F69F-394C-4C3D-B526-82072A4C2553}" type="SERIESNAME">
                      <a:rPr lang="en-US"/>
                      <a:pPr>
                        <a:defRPr sz="900" b="0" i="0" u="none" strike="noStrike" kern="1200" baseline="0">
                          <a:solidFill>
                            <a:schemeClr val="tx1"/>
                          </a:solidFill>
                          <a:latin typeface="+mn-lt"/>
                          <a:ea typeface="+mn-ea"/>
                          <a:cs typeface="+mn-cs"/>
                        </a:defRPr>
                      </a:pPr>
                      <a:t>[SERIES NAME]</a:t>
                    </a:fld>
                    <a:endParaRPr 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F980-48A1-AF2F-2B8632540D32}"/>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Tech'!$BV$163:$CF$163</c:f>
              <c:numCache>
                <c:formatCode>General</c:formatCode>
                <c:ptCount val="11"/>
                <c:pt idx="0">
                  <c:v>3</c:v>
                </c:pt>
                <c:pt idx="1">
                  <c:v>2</c:v>
                </c:pt>
                <c:pt idx="2">
                  <c:v>2</c:v>
                </c:pt>
                <c:pt idx="3">
                  <c:v>2</c:v>
                </c:pt>
                <c:pt idx="4">
                  <c:v>2</c:v>
                </c:pt>
                <c:pt idx="5">
                  <c:v>1</c:v>
                </c:pt>
                <c:pt idx="6">
                  <c:v>1</c:v>
                </c:pt>
                <c:pt idx="7">
                  <c:v>1</c:v>
                </c:pt>
                <c:pt idx="8">
                  <c:v>1</c:v>
                </c:pt>
                <c:pt idx="9">
                  <c:v>11</c:v>
                </c:pt>
                <c:pt idx="10">
                  <c:v>1</c:v>
                </c:pt>
              </c:numCache>
            </c:numRef>
          </c:val>
          <c:smooth val="0"/>
          <c:extLst>
            <c:ext xmlns:c16="http://schemas.microsoft.com/office/drawing/2014/chart" uri="{C3380CC4-5D6E-409C-BE32-E72D297353CC}">
              <c16:uniqueId val="{00000021-365C-456E-89F5-5AE09D176A9F}"/>
            </c:ext>
          </c:extLst>
        </c:ser>
        <c:ser>
          <c:idx val="14"/>
          <c:order val="13"/>
          <c:tx>
            <c:strRef>
              <c:f>'Ch4. Applications leading Tech'!$BU$164</c:f>
              <c:strCache>
                <c:ptCount val="1"/>
                <c:pt idx="0">
                  <c:v>Other consumer goods</c:v>
                </c:pt>
              </c:strCache>
            </c:strRef>
          </c:tx>
          <c:spPr>
            <a:ln w="28575" cap="rnd">
              <a:solidFill>
                <a:schemeClr val="accent3">
                  <a:lumMod val="80000"/>
                  <a:lumOff val="2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C-F980-48A1-AF2F-2B8632540D32}"/>
                </c:ext>
              </c:extLst>
            </c:dLbl>
            <c:dLbl>
              <c:idx val="1"/>
              <c:delete val="1"/>
              <c:extLst>
                <c:ext xmlns:c15="http://schemas.microsoft.com/office/drawing/2012/chart" uri="{CE6537A1-D6FC-4f65-9D91-7224C49458BB}"/>
                <c:ext xmlns:c16="http://schemas.microsoft.com/office/drawing/2014/chart" uri="{C3380CC4-5D6E-409C-BE32-E72D297353CC}">
                  <c16:uniqueId val="{0000003B-F980-48A1-AF2F-2B8632540D32}"/>
                </c:ext>
              </c:extLst>
            </c:dLbl>
            <c:dLbl>
              <c:idx val="2"/>
              <c:delete val="1"/>
              <c:extLst>
                <c:ext xmlns:c15="http://schemas.microsoft.com/office/drawing/2012/chart" uri="{CE6537A1-D6FC-4f65-9D91-7224C49458BB}"/>
                <c:ext xmlns:c16="http://schemas.microsoft.com/office/drawing/2014/chart" uri="{C3380CC4-5D6E-409C-BE32-E72D297353CC}">
                  <c16:uniqueId val="{0000003A-F980-48A1-AF2F-2B8632540D32}"/>
                </c:ext>
              </c:extLst>
            </c:dLbl>
            <c:dLbl>
              <c:idx val="3"/>
              <c:delete val="1"/>
              <c:extLst>
                <c:ext xmlns:c15="http://schemas.microsoft.com/office/drawing/2012/chart" uri="{CE6537A1-D6FC-4f65-9D91-7224C49458BB}"/>
                <c:ext xmlns:c16="http://schemas.microsoft.com/office/drawing/2014/chart" uri="{C3380CC4-5D6E-409C-BE32-E72D297353CC}">
                  <c16:uniqueId val="{00000039-F980-48A1-AF2F-2B8632540D32}"/>
                </c:ext>
              </c:extLst>
            </c:dLbl>
            <c:dLbl>
              <c:idx val="4"/>
              <c:delete val="1"/>
              <c:extLst>
                <c:ext xmlns:c15="http://schemas.microsoft.com/office/drawing/2012/chart" uri="{CE6537A1-D6FC-4f65-9D91-7224C49458BB}"/>
                <c:ext xmlns:c16="http://schemas.microsoft.com/office/drawing/2014/chart" uri="{C3380CC4-5D6E-409C-BE32-E72D297353CC}">
                  <c16:uniqueId val="{00000038-F980-48A1-AF2F-2B8632540D32}"/>
                </c:ext>
              </c:extLst>
            </c:dLbl>
            <c:dLbl>
              <c:idx val="5"/>
              <c:delete val="1"/>
              <c:extLst>
                <c:ext xmlns:c15="http://schemas.microsoft.com/office/drawing/2012/chart" uri="{CE6537A1-D6FC-4f65-9D91-7224C49458BB}"/>
                <c:ext xmlns:c16="http://schemas.microsoft.com/office/drawing/2014/chart" uri="{C3380CC4-5D6E-409C-BE32-E72D297353CC}">
                  <c16:uniqueId val="{00000036-F980-48A1-AF2F-2B8632540D32}"/>
                </c:ext>
              </c:extLst>
            </c:dLbl>
            <c:dLbl>
              <c:idx val="6"/>
              <c:delete val="1"/>
              <c:extLst>
                <c:ext xmlns:c15="http://schemas.microsoft.com/office/drawing/2012/chart" uri="{CE6537A1-D6FC-4f65-9D91-7224C49458BB}"/>
                <c:ext xmlns:c16="http://schemas.microsoft.com/office/drawing/2014/chart" uri="{C3380CC4-5D6E-409C-BE32-E72D297353CC}">
                  <c16:uniqueId val="{00000037-F980-48A1-AF2F-2B8632540D32}"/>
                </c:ext>
              </c:extLst>
            </c:dLbl>
            <c:dLbl>
              <c:idx val="7"/>
              <c:delete val="1"/>
              <c:extLst>
                <c:ext xmlns:c15="http://schemas.microsoft.com/office/drawing/2012/chart" uri="{CE6537A1-D6FC-4f65-9D91-7224C49458BB}"/>
                <c:ext xmlns:c16="http://schemas.microsoft.com/office/drawing/2014/chart" uri="{C3380CC4-5D6E-409C-BE32-E72D297353CC}">
                  <c16:uniqueId val="{0000003D-F980-48A1-AF2F-2B8632540D32}"/>
                </c:ext>
              </c:extLst>
            </c:dLbl>
            <c:dLbl>
              <c:idx val="8"/>
              <c:delete val="1"/>
              <c:extLst>
                <c:ext xmlns:c15="http://schemas.microsoft.com/office/drawing/2012/chart" uri="{CE6537A1-D6FC-4f65-9D91-7224C49458BB}"/>
                <c:ext xmlns:c16="http://schemas.microsoft.com/office/drawing/2014/chart" uri="{C3380CC4-5D6E-409C-BE32-E72D297353CC}">
                  <c16:uniqueId val="{0000003E-F980-48A1-AF2F-2B8632540D32}"/>
                </c:ext>
              </c:extLst>
            </c:dLbl>
            <c:dLbl>
              <c:idx val="9"/>
              <c:delete val="1"/>
              <c:extLst>
                <c:ext xmlns:c15="http://schemas.microsoft.com/office/drawing/2012/chart" uri="{CE6537A1-D6FC-4f65-9D91-7224C49458BB}"/>
                <c:ext xmlns:c16="http://schemas.microsoft.com/office/drawing/2014/chart" uri="{C3380CC4-5D6E-409C-BE32-E72D297353CC}">
                  <c16:uniqueId val="{0000003F-F980-48A1-AF2F-2B8632540D32}"/>
                </c:ext>
              </c:extLst>
            </c:dLbl>
            <c:dLbl>
              <c:idx val="10"/>
              <c:layout>
                <c:manualLayout>
                  <c:x val="6.2601306083417477E-3"/>
                  <c:y val="7.4332188207929953E-3"/>
                </c:manualLayout>
              </c:layout>
              <c:tx>
                <c:rich>
                  <a:bodyPr wrap="square" lIns="38100" tIns="19050" rIns="38100" bIns="19050" anchor="ctr">
                    <a:spAutoFit/>
                  </a:bodyPr>
                  <a:lstStyle/>
                  <a:p>
                    <a:pPr>
                      <a:defRPr sz="900"/>
                    </a:pPr>
                    <a:r>
                      <a:rPr lang="en-US" sz="900"/>
                      <a:t>Other consumer goods</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980-48A1-AF2F-2B8632540D3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Tech'!$BV$164:$CF$164</c:f>
              <c:numCache>
                <c:formatCode>General</c:formatCode>
                <c:ptCount val="11"/>
                <c:pt idx="0">
                  <c:v>11</c:v>
                </c:pt>
                <c:pt idx="1">
                  <c:v>11</c:v>
                </c:pt>
                <c:pt idx="2">
                  <c:v>11</c:v>
                </c:pt>
                <c:pt idx="3">
                  <c:v>11</c:v>
                </c:pt>
                <c:pt idx="4">
                  <c:v>11</c:v>
                </c:pt>
                <c:pt idx="5">
                  <c:v>4</c:v>
                </c:pt>
                <c:pt idx="6">
                  <c:v>4</c:v>
                </c:pt>
                <c:pt idx="7">
                  <c:v>11</c:v>
                </c:pt>
                <c:pt idx="8">
                  <c:v>11</c:v>
                </c:pt>
                <c:pt idx="9">
                  <c:v>11</c:v>
                </c:pt>
                <c:pt idx="10">
                  <c:v>14</c:v>
                </c:pt>
              </c:numCache>
            </c:numRef>
          </c:val>
          <c:smooth val="0"/>
          <c:extLst>
            <c:ext xmlns:c16="http://schemas.microsoft.com/office/drawing/2014/chart" uri="{C3380CC4-5D6E-409C-BE32-E72D297353CC}">
              <c16:uniqueId val="{00000022-365C-456E-89F5-5AE09D176A9F}"/>
            </c:ext>
          </c:extLst>
        </c:ser>
        <c:ser>
          <c:idx val="15"/>
          <c:order val="14"/>
          <c:tx>
            <c:strRef>
              <c:f>'Ch4. Applications leading Tech'!$BU$165</c:f>
              <c:strCache>
                <c:ptCount val="1"/>
                <c:pt idx="0">
                  <c:v>Medical technology</c:v>
                </c:pt>
              </c:strCache>
            </c:strRef>
          </c:tx>
          <c:spPr>
            <a:ln w="28575" cap="rnd">
              <a:solidFill>
                <a:schemeClr val="accent4">
                  <a:lumMod val="80000"/>
                  <a:lumOff val="20000"/>
                </a:schemeClr>
              </a:solidFill>
              <a:round/>
            </a:ln>
            <a:effectLst/>
          </c:spPr>
          <c:marker>
            <c:symbol val="none"/>
          </c:marker>
          <c:dLbls>
            <c:dLbl>
              <c:idx val="9"/>
              <c:layout>
                <c:manualLayout>
                  <c:x val="7.5121567300100972E-2"/>
                  <c:y val="4.459931292475790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Tech'!$BV$165:$CF$165</c:f>
              <c:numCache>
                <c:formatCode>General</c:formatCode>
                <c:ptCount val="11"/>
                <c:pt idx="0">
                  <c:v>11</c:v>
                </c:pt>
                <c:pt idx="1">
                  <c:v>11</c:v>
                </c:pt>
                <c:pt idx="2">
                  <c:v>11</c:v>
                </c:pt>
                <c:pt idx="3">
                  <c:v>11</c:v>
                </c:pt>
                <c:pt idx="4">
                  <c:v>11</c:v>
                </c:pt>
                <c:pt idx="5">
                  <c:v>11</c:v>
                </c:pt>
                <c:pt idx="6">
                  <c:v>11</c:v>
                </c:pt>
                <c:pt idx="7">
                  <c:v>11</c:v>
                </c:pt>
                <c:pt idx="8">
                  <c:v>11</c:v>
                </c:pt>
                <c:pt idx="9">
                  <c:v>7</c:v>
                </c:pt>
                <c:pt idx="10">
                  <c:v>8</c:v>
                </c:pt>
              </c:numCache>
            </c:numRef>
          </c:val>
          <c:smooth val="0"/>
          <c:extLst>
            <c:ext xmlns:c16="http://schemas.microsoft.com/office/drawing/2014/chart" uri="{C3380CC4-5D6E-409C-BE32-E72D297353CC}">
              <c16:uniqueId val="{00000002-43F8-470F-B58B-76D808937236}"/>
            </c:ext>
          </c:extLst>
        </c:ser>
        <c:ser>
          <c:idx val="16"/>
          <c:order val="15"/>
          <c:tx>
            <c:strRef>
              <c:f>'Ch4. Applications leading Tech'!$BU$166</c:f>
              <c:strCache>
                <c:ptCount val="1"/>
                <c:pt idx="0">
                  <c:v>Biotechnology</c:v>
                </c:pt>
              </c:strCache>
            </c:strRef>
          </c:tx>
          <c:spPr>
            <a:ln w="28575" cap="rnd">
              <a:solidFill>
                <a:schemeClr val="accent5">
                  <a:lumMod val="80000"/>
                  <a:lumOff val="20000"/>
                </a:schemeClr>
              </a:solidFill>
              <a:round/>
            </a:ln>
            <a:effectLst/>
          </c:spPr>
          <c:marker>
            <c:symbol val="none"/>
          </c:marker>
          <c:dLbls>
            <c:dLbl>
              <c:idx val="9"/>
              <c:layout>
                <c:manualLayout>
                  <c:x val="7.5121567300100972E-2"/>
                  <c:y val="0.5946575056634395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Tech'!$BV$166:$CF$166</c:f>
              <c:numCache>
                <c:formatCode>General</c:formatCode>
                <c:ptCount val="11"/>
                <c:pt idx="0">
                  <c:v>11</c:v>
                </c:pt>
                <c:pt idx="1">
                  <c:v>11</c:v>
                </c:pt>
                <c:pt idx="2">
                  <c:v>11</c:v>
                </c:pt>
                <c:pt idx="3">
                  <c:v>11</c:v>
                </c:pt>
                <c:pt idx="4">
                  <c:v>11</c:v>
                </c:pt>
                <c:pt idx="5">
                  <c:v>11</c:v>
                </c:pt>
                <c:pt idx="6">
                  <c:v>11</c:v>
                </c:pt>
                <c:pt idx="7">
                  <c:v>11</c:v>
                </c:pt>
                <c:pt idx="8">
                  <c:v>11</c:v>
                </c:pt>
                <c:pt idx="9">
                  <c:v>4</c:v>
                </c:pt>
                <c:pt idx="10">
                  <c:v>18</c:v>
                </c:pt>
              </c:numCache>
            </c:numRef>
          </c:val>
          <c:smooth val="0"/>
          <c:extLst>
            <c:ext xmlns:c16="http://schemas.microsoft.com/office/drawing/2014/chart" uri="{C3380CC4-5D6E-409C-BE32-E72D297353CC}">
              <c16:uniqueId val="{00000003-43F8-470F-B58B-76D808937236}"/>
            </c:ext>
          </c:extLst>
        </c:ser>
        <c:ser>
          <c:idx val="17"/>
          <c:order val="16"/>
          <c:tx>
            <c:strRef>
              <c:f>'Ch4. Applications leading Tech'!$BU$167</c:f>
              <c:strCache>
                <c:ptCount val="1"/>
                <c:pt idx="0">
                  <c:v>Semiconductors</c:v>
                </c:pt>
              </c:strCache>
            </c:strRef>
          </c:tx>
          <c:spPr>
            <a:ln w="28575" cap="rnd">
              <a:solidFill>
                <a:schemeClr val="accent6">
                  <a:lumMod val="80000"/>
                  <a:lumOff val="20000"/>
                </a:schemeClr>
              </a:solidFill>
              <a:round/>
            </a:ln>
            <a:effectLst/>
          </c:spPr>
          <c:marker>
            <c:symbol val="none"/>
          </c:marker>
          <c:dLbls>
            <c:dLbl>
              <c:idx val="9"/>
              <c:layout>
                <c:manualLayout>
                  <c:x val="7.303485709732023E-2"/>
                  <c:y val="0.598374115073836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3F8-470F-B58B-76D80893723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Tech'!$BV$149:$CF$149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Tech'!$BV$167:$CF$167</c:f>
              <c:numCache>
                <c:formatCode>General</c:formatCode>
                <c:ptCount val="11"/>
                <c:pt idx="0">
                  <c:v>11</c:v>
                </c:pt>
                <c:pt idx="1">
                  <c:v>11</c:v>
                </c:pt>
                <c:pt idx="2">
                  <c:v>11</c:v>
                </c:pt>
                <c:pt idx="3">
                  <c:v>11</c:v>
                </c:pt>
                <c:pt idx="4">
                  <c:v>11</c:v>
                </c:pt>
                <c:pt idx="5">
                  <c:v>11</c:v>
                </c:pt>
                <c:pt idx="6">
                  <c:v>11</c:v>
                </c:pt>
                <c:pt idx="7">
                  <c:v>11</c:v>
                </c:pt>
                <c:pt idx="8">
                  <c:v>11</c:v>
                </c:pt>
                <c:pt idx="9">
                  <c:v>2</c:v>
                </c:pt>
                <c:pt idx="10">
                  <c:v>16</c:v>
                </c:pt>
              </c:numCache>
            </c:numRef>
          </c:val>
          <c:smooth val="0"/>
          <c:extLst>
            <c:ext xmlns:c16="http://schemas.microsoft.com/office/drawing/2014/chart" uri="{C3380CC4-5D6E-409C-BE32-E72D297353CC}">
              <c16:uniqueId val="{00000004-43F8-470F-B58B-76D808937236}"/>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USPTO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Applications leading Tech'!$CK$150</c:f>
              <c:strCache>
                <c:ptCount val="1"/>
                <c:pt idx="0">
                  <c:v>IT methods for management</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83-4631-BD2F-DD9DBD7A1553}"/>
                </c:ext>
              </c:extLst>
            </c:dLbl>
            <c:dLbl>
              <c:idx val="8"/>
              <c:delete val="1"/>
              <c:extLst>
                <c:ext xmlns:c15="http://schemas.microsoft.com/office/drawing/2012/chart" uri="{CE6537A1-D6FC-4f65-9D91-7224C49458BB}"/>
                <c:ext xmlns:c16="http://schemas.microsoft.com/office/drawing/2014/chart" uri="{C3380CC4-5D6E-409C-BE32-E72D297353CC}">
                  <c16:uniqueId val="{00000001-7F83-4631-BD2F-DD9DBD7A1553}"/>
                </c:ext>
              </c:extLst>
            </c:dLbl>
            <c:dLbl>
              <c:idx val="9"/>
              <c:layout>
                <c:manualLayout>
                  <c:x val="5.7986769595804281E-2"/>
                  <c:y val="6.3182506299945596E-2"/>
                </c:manualLayout>
              </c:layout>
              <c:spPr>
                <a:noFill/>
                <a:ln>
                  <a:noFill/>
                </a:ln>
                <a:effectLst/>
              </c:spPr>
              <c:txPr>
                <a:bodyPr rot="0" spcFirstLastPara="1" vertOverflow="ellipsis" vert="horz" wrap="square" lIns="38100" tIns="19050" rIns="38100" bIns="19050" anchor="ctr" anchorCtr="0">
                  <a:spAutoFit/>
                </a:bodyPr>
                <a:lstStyle/>
                <a:p>
                  <a:pPr algn="ctr">
                    <a:defRPr sz="105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c:ext xmlns:c15="http://schemas.microsoft.com/office/drawing/2012/chart" uri="{CE6537A1-D6FC-4f65-9D91-7224C49458BB}">
                  <c15:layout>
                    <c:manualLayout>
                      <c:w val="0.19397931433404716"/>
                      <c:h val="0.10644369351375568"/>
                    </c:manualLayout>
                  </c15:layout>
                </c:ext>
                <c:ext xmlns:c16="http://schemas.microsoft.com/office/drawing/2014/chart" uri="{C3380CC4-5D6E-409C-BE32-E72D297353CC}">
                  <c16:uniqueId val="{00000008-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Tech'!$CL$150:$CV$150</c:f>
              <c:numCache>
                <c:formatCode>General</c:formatCode>
                <c:ptCount val="11"/>
                <c:pt idx="0">
                  <c:v>8</c:v>
                </c:pt>
                <c:pt idx="1">
                  <c:v>7</c:v>
                </c:pt>
                <c:pt idx="2">
                  <c:v>8</c:v>
                </c:pt>
                <c:pt idx="3">
                  <c:v>7</c:v>
                </c:pt>
                <c:pt idx="4">
                  <c:v>9</c:v>
                </c:pt>
                <c:pt idx="5">
                  <c:v>9</c:v>
                </c:pt>
                <c:pt idx="6">
                  <c:v>9</c:v>
                </c:pt>
                <c:pt idx="7">
                  <c:v>9</c:v>
                </c:pt>
                <c:pt idx="8">
                  <c:v>8</c:v>
                </c:pt>
                <c:pt idx="9">
                  <c:v>8</c:v>
                </c:pt>
                <c:pt idx="10">
                  <c:v>9</c:v>
                </c:pt>
              </c:numCache>
            </c:numRef>
          </c:val>
          <c:smooth val="0"/>
          <c:extLst>
            <c:ext xmlns:c16="http://schemas.microsoft.com/office/drawing/2014/chart" uri="{C3380CC4-5D6E-409C-BE32-E72D297353CC}">
              <c16:uniqueId val="{00000002-7F83-4631-BD2F-DD9DBD7A1553}"/>
            </c:ext>
          </c:extLst>
        </c:ser>
        <c:ser>
          <c:idx val="1"/>
          <c:order val="1"/>
          <c:tx>
            <c:strRef>
              <c:f>'Ch4. Applications leading Tech'!$CK$151</c:f>
              <c:strCache>
                <c:ptCount val="1"/>
                <c:pt idx="0">
                  <c:v>Measurement</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83-4631-BD2F-DD9DBD7A1553}"/>
                </c:ext>
              </c:extLst>
            </c:dLbl>
            <c:dLbl>
              <c:idx val="9"/>
              <c:layout>
                <c:manualLayout>
                  <c:x val="8.369294114293914E-2"/>
                  <c:y val="-0.14123115759506699"/>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Tech'!$CL$151:$CV$151</c:f>
              <c:numCache>
                <c:formatCode>General</c:formatCode>
                <c:ptCount val="11"/>
                <c:pt idx="0">
                  <c:v>10</c:v>
                </c:pt>
                <c:pt idx="1">
                  <c:v>8</c:v>
                </c:pt>
                <c:pt idx="2">
                  <c:v>7</c:v>
                </c:pt>
                <c:pt idx="3">
                  <c:v>8</c:v>
                </c:pt>
                <c:pt idx="4">
                  <c:v>8</c:v>
                </c:pt>
                <c:pt idx="5">
                  <c:v>8</c:v>
                </c:pt>
                <c:pt idx="6">
                  <c:v>8</c:v>
                </c:pt>
                <c:pt idx="7">
                  <c:v>8</c:v>
                </c:pt>
                <c:pt idx="8">
                  <c:v>9</c:v>
                </c:pt>
                <c:pt idx="9">
                  <c:v>9</c:v>
                </c:pt>
                <c:pt idx="10">
                  <c:v>7</c:v>
                </c:pt>
              </c:numCache>
            </c:numRef>
          </c:val>
          <c:smooth val="0"/>
          <c:extLst>
            <c:ext xmlns:c16="http://schemas.microsoft.com/office/drawing/2014/chart" uri="{C3380CC4-5D6E-409C-BE32-E72D297353CC}">
              <c16:uniqueId val="{00000005-7F83-4631-BD2F-DD9DBD7A1553}"/>
            </c:ext>
          </c:extLst>
        </c:ser>
        <c:ser>
          <c:idx val="2"/>
          <c:order val="2"/>
          <c:tx>
            <c:strRef>
              <c:f>'Ch4. Applications leading Tech'!$CK$152</c:f>
              <c:strCache>
                <c:ptCount val="1"/>
                <c:pt idx="0">
                  <c:v>Audio-visual technology</c:v>
                </c:pt>
              </c:strCache>
            </c:strRef>
          </c:tx>
          <c:spPr>
            <a:ln w="38100" cap="rnd">
              <a:solidFill>
                <a:schemeClr val="accent3"/>
              </a:solidFill>
              <a:round/>
            </a:ln>
            <a:effectLst/>
          </c:spPr>
          <c:marker>
            <c:symbol val="none"/>
          </c:marker>
          <c:dLbls>
            <c:dLbl>
              <c:idx val="0"/>
              <c:layout>
                <c:manualLayout>
                  <c:x val="-4.8123441157190007E-2"/>
                  <c:y val="-6.813705206556263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A1-4655-B21A-BEDB05F17114}"/>
                </c:ext>
              </c:extLst>
            </c:dLbl>
            <c:dLbl>
              <c:idx val="1"/>
              <c:delete val="1"/>
              <c:extLst>
                <c:ext xmlns:c15="http://schemas.microsoft.com/office/drawing/2012/chart" uri="{CE6537A1-D6FC-4f65-9D91-7224C49458BB}"/>
                <c:ext xmlns:c16="http://schemas.microsoft.com/office/drawing/2014/chart" uri="{C3380CC4-5D6E-409C-BE32-E72D297353CC}">
                  <c16:uniqueId val="{00000002-98A1-4655-B21A-BEDB05F17114}"/>
                </c:ext>
              </c:extLst>
            </c:dLbl>
            <c:dLbl>
              <c:idx val="2"/>
              <c:delete val="1"/>
              <c:extLst>
                <c:ext xmlns:c15="http://schemas.microsoft.com/office/drawing/2012/chart" uri="{CE6537A1-D6FC-4f65-9D91-7224C49458BB}"/>
                <c:ext xmlns:c16="http://schemas.microsoft.com/office/drawing/2014/chart" uri="{C3380CC4-5D6E-409C-BE32-E72D297353CC}">
                  <c16:uniqueId val="{00000003-98A1-4655-B21A-BEDB05F17114}"/>
                </c:ext>
              </c:extLst>
            </c:dLbl>
            <c:dLbl>
              <c:idx val="3"/>
              <c:delete val="1"/>
              <c:extLst>
                <c:ext xmlns:c15="http://schemas.microsoft.com/office/drawing/2012/chart" uri="{CE6537A1-D6FC-4f65-9D91-7224C49458BB}"/>
                <c:ext xmlns:c16="http://schemas.microsoft.com/office/drawing/2014/chart" uri="{C3380CC4-5D6E-409C-BE32-E72D297353CC}">
                  <c16:uniqueId val="{00000004-98A1-4655-B21A-BEDB05F17114}"/>
                </c:ext>
              </c:extLst>
            </c:dLbl>
            <c:dLbl>
              <c:idx val="4"/>
              <c:delete val="1"/>
              <c:extLst>
                <c:ext xmlns:c15="http://schemas.microsoft.com/office/drawing/2012/chart" uri="{CE6537A1-D6FC-4f65-9D91-7224C49458BB}"/>
                <c:ext xmlns:c16="http://schemas.microsoft.com/office/drawing/2014/chart" uri="{C3380CC4-5D6E-409C-BE32-E72D297353CC}">
                  <c16:uniqueId val="{00000005-98A1-4655-B21A-BEDB05F17114}"/>
                </c:ext>
              </c:extLst>
            </c:dLbl>
            <c:dLbl>
              <c:idx val="5"/>
              <c:delete val="1"/>
              <c:extLst>
                <c:ext xmlns:c15="http://schemas.microsoft.com/office/drawing/2012/chart" uri="{CE6537A1-D6FC-4f65-9D91-7224C49458BB}"/>
                <c:ext xmlns:c16="http://schemas.microsoft.com/office/drawing/2014/chart" uri="{C3380CC4-5D6E-409C-BE32-E72D297353CC}">
                  <c16:uniqueId val="{00000006-98A1-4655-B21A-BEDB05F17114}"/>
                </c:ext>
              </c:extLst>
            </c:dLbl>
            <c:dLbl>
              <c:idx val="6"/>
              <c:delete val="1"/>
              <c:extLst>
                <c:ext xmlns:c15="http://schemas.microsoft.com/office/drawing/2012/chart" uri="{CE6537A1-D6FC-4f65-9D91-7224C49458BB}"/>
                <c:ext xmlns:c16="http://schemas.microsoft.com/office/drawing/2014/chart" uri="{C3380CC4-5D6E-409C-BE32-E72D297353CC}">
                  <c16:uniqueId val="{00000007-98A1-4655-B21A-BEDB05F17114}"/>
                </c:ext>
              </c:extLst>
            </c:dLbl>
            <c:dLbl>
              <c:idx val="7"/>
              <c:delete val="1"/>
              <c:extLst>
                <c:ext xmlns:c15="http://schemas.microsoft.com/office/drawing/2012/chart" uri="{CE6537A1-D6FC-4f65-9D91-7224C49458BB}"/>
                <c:ext xmlns:c16="http://schemas.microsoft.com/office/drawing/2014/chart" uri="{C3380CC4-5D6E-409C-BE32-E72D297353CC}">
                  <c16:uniqueId val="{00000008-98A1-4655-B21A-BEDB05F17114}"/>
                </c:ext>
              </c:extLst>
            </c:dLbl>
            <c:dLbl>
              <c:idx val="8"/>
              <c:delete val="1"/>
              <c:extLst>
                <c:ext xmlns:c15="http://schemas.microsoft.com/office/drawing/2012/chart" uri="{CE6537A1-D6FC-4f65-9D91-7224C49458BB}"/>
                <c:ext xmlns:c16="http://schemas.microsoft.com/office/drawing/2014/chart" uri="{C3380CC4-5D6E-409C-BE32-E72D297353CC}">
                  <c16:uniqueId val="{00000009-98A1-4655-B21A-BEDB05F17114}"/>
                </c:ext>
              </c:extLst>
            </c:dLbl>
            <c:dLbl>
              <c:idx val="9"/>
              <c:delete val="1"/>
              <c:extLst>
                <c:ext xmlns:c15="http://schemas.microsoft.com/office/drawing/2012/chart" uri="{CE6537A1-D6FC-4f65-9D91-7224C49458BB}">
                  <c15:layout>
                    <c:manualLayout>
                      <c:w val="3.237878897961665E-2"/>
                      <c:h val="0.12131013115534171"/>
                    </c:manualLayout>
                  </c15:layout>
                </c:ext>
                <c:ext xmlns:c16="http://schemas.microsoft.com/office/drawing/2014/chart" uri="{C3380CC4-5D6E-409C-BE32-E72D297353CC}">
                  <c16:uniqueId val="{00000007-C20C-4E74-B880-D92AC9A2B401}"/>
                </c:ext>
              </c:extLst>
            </c:dLbl>
            <c:dLbl>
              <c:idx val="10"/>
              <c:layout>
                <c:manualLayout>
                  <c:x val="1.4646264700014349E-2"/>
                  <c:y val="-9.2912308795809768E-3"/>
                </c:manualLayout>
              </c:layout>
              <c:tx>
                <c:rich>
                  <a:bodyPr rot="0" spcFirstLastPara="1" vertOverflow="ellipsis" vert="horz" wrap="square" lIns="38100" tIns="19050" rIns="38100" bIns="19050" anchor="ctr" anchorCtr="1">
                    <a:noAutofit/>
                  </a:bodyPr>
                  <a:lstStyle/>
                  <a:p>
                    <a:pPr>
                      <a:defRPr sz="1050" b="0" i="0" u="none" strike="noStrike" kern="1200" baseline="0">
                        <a:solidFill>
                          <a:schemeClr val="tx1"/>
                        </a:solidFill>
                        <a:latin typeface="+mn-lt"/>
                        <a:ea typeface="+mn-ea"/>
                        <a:cs typeface="+mn-cs"/>
                      </a:defRPr>
                    </a:pPr>
                    <a:fld id="{5D86A652-215F-4E19-A160-7C6CF258FA91}" type="SERIESNAME">
                      <a:rPr lang="en-US"/>
                      <a:pPr>
                        <a:defRPr sz="1050"/>
                      </a:pPr>
                      <a:t>[SERIES NAME]</a:t>
                    </a:fld>
                    <a:endParaRPr lang="en-US"/>
                  </a:p>
                </c:rich>
              </c:tx>
              <c:spPr>
                <a:noFill/>
                <a:ln>
                  <a:noFill/>
                </a:ln>
                <a:effectLst/>
              </c:spPr>
              <c:txPr>
                <a:bodyPr rot="0" spcFirstLastPara="1" vertOverflow="ellipsis" vert="horz" wrap="square" lIns="38100" tIns="19050" rIns="38100" bIns="19050" anchor="ctr" anchorCtr="1">
                  <a:no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layout>
                    <c:manualLayout>
                      <c:w val="0.23114935944421297"/>
                      <c:h val="8.7860646461773204E-2"/>
                    </c:manualLayout>
                  </c15:layout>
                  <c15:dlblFieldTable/>
                  <c15:showDataLabelsRange val="0"/>
                </c:ext>
                <c:ext xmlns:c16="http://schemas.microsoft.com/office/drawing/2014/chart" uri="{C3380CC4-5D6E-409C-BE32-E72D297353CC}">
                  <c16:uniqueId val="{0000000A-98A1-4655-B21A-BEDB05F17114}"/>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Tech'!$CL$152:$CV$152</c:f>
              <c:numCache>
                <c:formatCode>General</c:formatCode>
                <c:ptCount val="11"/>
                <c:pt idx="0">
                  <c:v>3</c:v>
                </c:pt>
                <c:pt idx="1">
                  <c:v>5</c:v>
                </c:pt>
                <c:pt idx="2">
                  <c:v>6</c:v>
                </c:pt>
                <c:pt idx="3">
                  <c:v>6</c:v>
                </c:pt>
                <c:pt idx="4">
                  <c:v>6</c:v>
                </c:pt>
                <c:pt idx="5">
                  <c:v>6</c:v>
                </c:pt>
                <c:pt idx="6">
                  <c:v>6</c:v>
                </c:pt>
                <c:pt idx="7">
                  <c:v>6</c:v>
                </c:pt>
                <c:pt idx="8">
                  <c:v>7</c:v>
                </c:pt>
                <c:pt idx="9">
                  <c:v>7</c:v>
                </c:pt>
                <c:pt idx="10">
                  <c:v>8</c:v>
                </c:pt>
              </c:numCache>
            </c:numRef>
          </c:val>
          <c:smooth val="0"/>
          <c:extLst>
            <c:ext xmlns:c16="http://schemas.microsoft.com/office/drawing/2014/chart" uri="{C3380CC4-5D6E-409C-BE32-E72D297353CC}">
              <c16:uniqueId val="{00000007-7F83-4631-BD2F-DD9DBD7A1553}"/>
            </c:ext>
          </c:extLst>
        </c:ser>
        <c:ser>
          <c:idx val="3"/>
          <c:order val="3"/>
          <c:tx>
            <c:strRef>
              <c:f>'Ch4. Applications leading Tech'!$CK$153</c:f>
              <c:strCache>
                <c:ptCount val="1"/>
                <c:pt idx="0">
                  <c:v>Transport</c:v>
                </c:pt>
              </c:strCache>
            </c:strRef>
          </c:tx>
          <c:spPr>
            <a:ln w="28575" cap="rnd">
              <a:solidFill>
                <a:schemeClr val="accent4"/>
              </a:solidFill>
              <a:round/>
            </a:ln>
            <a:effectLst/>
          </c:spPr>
          <c:marker>
            <c:symbol val="none"/>
          </c:marker>
          <c:dLbls>
            <c:dLbl>
              <c:idx val="9"/>
              <c:layout>
                <c:manualLayout>
                  <c:x val="9.415455878580653E-2"/>
                  <c:y val="-1.486643764158599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Tech'!$CL$153:$CV$153</c:f>
              <c:numCache>
                <c:formatCode>General</c:formatCode>
                <c:ptCount val="11"/>
                <c:pt idx="0">
                  <c:v>12</c:v>
                </c:pt>
                <c:pt idx="1">
                  <c:v>12</c:v>
                </c:pt>
                <c:pt idx="2">
                  <c:v>9</c:v>
                </c:pt>
                <c:pt idx="3">
                  <c:v>9</c:v>
                </c:pt>
                <c:pt idx="4">
                  <c:v>7</c:v>
                </c:pt>
                <c:pt idx="5">
                  <c:v>7</c:v>
                </c:pt>
                <c:pt idx="6">
                  <c:v>7</c:v>
                </c:pt>
                <c:pt idx="7">
                  <c:v>7</c:v>
                </c:pt>
                <c:pt idx="8">
                  <c:v>6</c:v>
                </c:pt>
                <c:pt idx="9">
                  <c:v>6</c:v>
                </c:pt>
                <c:pt idx="10">
                  <c:v>6</c:v>
                </c:pt>
              </c:numCache>
            </c:numRef>
          </c:val>
          <c:smooth val="0"/>
          <c:extLst>
            <c:ext xmlns:c16="http://schemas.microsoft.com/office/drawing/2014/chart" uri="{C3380CC4-5D6E-409C-BE32-E72D297353CC}">
              <c16:uniqueId val="{0000000A-7F83-4631-BD2F-DD9DBD7A1553}"/>
            </c:ext>
          </c:extLst>
        </c:ser>
        <c:ser>
          <c:idx val="4"/>
          <c:order val="4"/>
          <c:tx>
            <c:strRef>
              <c:f>'Ch4. Applications leading Tech'!$CK$154</c:f>
              <c:strCache>
                <c:ptCount val="1"/>
                <c:pt idx="0">
                  <c:v>Semiconductors</c:v>
                </c:pt>
              </c:strCache>
            </c:strRef>
          </c:tx>
          <c:spPr>
            <a:ln w="38100" cap="rnd">
              <a:solidFill>
                <a:schemeClr val="accent5"/>
              </a:solidFill>
              <a:round/>
            </a:ln>
            <a:effectLst/>
          </c:spPr>
          <c:marker>
            <c:symbol val="none"/>
          </c:marker>
          <c:dLbls>
            <c:dLbl>
              <c:idx val="9"/>
              <c:layout>
                <c:manualLayout>
                  <c:x val="8.369294114293914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Tech'!$CL$154:$CV$154</c:f>
              <c:numCache>
                <c:formatCode>General</c:formatCode>
                <c:ptCount val="11"/>
                <c:pt idx="0">
                  <c:v>6</c:v>
                </c:pt>
                <c:pt idx="1">
                  <c:v>6</c:v>
                </c:pt>
                <c:pt idx="2">
                  <c:v>5</c:v>
                </c:pt>
                <c:pt idx="3">
                  <c:v>5</c:v>
                </c:pt>
                <c:pt idx="4">
                  <c:v>5</c:v>
                </c:pt>
                <c:pt idx="5">
                  <c:v>5</c:v>
                </c:pt>
                <c:pt idx="6">
                  <c:v>5</c:v>
                </c:pt>
                <c:pt idx="7">
                  <c:v>5</c:v>
                </c:pt>
                <c:pt idx="8">
                  <c:v>5</c:v>
                </c:pt>
                <c:pt idx="9">
                  <c:v>5</c:v>
                </c:pt>
                <c:pt idx="10">
                  <c:v>5</c:v>
                </c:pt>
              </c:numCache>
            </c:numRef>
          </c:val>
          <c:smooth val="0"/>
          <c:extLst>
            <c:ext xmlns:c16="http://schemas.microsoft.com/office/drawing/2014/chart" uri="{C3380CC4-5D6E-409C-BE32-E72D297353CC}">
              <c16:uniqueId val="{0000000C-7F83-4631-BD2F-DD9DBD7A1553}"/>
            </c:ext>
          </c:extLst>
        </c:ser>
        <c:ser>
          <c:idx val="5"/>
          <c:order val="5"/>
          <c:tx>
            <c:strRef>
              <c:f>'Ch4. Applications leading Tech'!$CK$155</c:f>
              <c:strCache>
                <c:ptCount val="1"/>
                <c:pt idx="0">
                  <c:v>Pharmaceuticals</c:v>
                </c:pt>
              </c:strCache>
            </c:strRef>
          </c:tx>
          <c:spPr>
            <a:ln w="38100" cap="rnd">
              <a:solidFill>
                <a:schemeClr val="accent6"/>
              </a:solidFill>
              <a:round/>
            </a:ln>
            <a:effectLst/>
          </c:spPr>
          <c:marker>
            <c:symbol val="none"/>
          </c:marker>
          <c:dLbls>
            <c:dLbl>
              <c:idx val="0"/>
              <c:layout>
                <c:manualLayout>
                  <c:x val="-4.8123441157190007E-2"/>
                  <c:y val="-2.22996564623791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8A1-4655-B21A-BEDB05F17114}"/>
                </c:ext>
              </c:extLst>
            </c:dLbl>
            <c:dLbl>
              <c:idx val="1"/>
              <c:delete val="1"/>
              <c:extLst>
                <c:ext xmlns:c15="http://schemas.microsoft.com/office/drawing/2012/chart" uri="{CE6537A1-D6FC-4f65-9D91-7224C49458BB}"/>
                <c:ext xmlns:c16="http://schemas.microsoft.com/office/drawing/2014/chart" uri="{C3380CC4-5D6E-409C-BE32-E72D297353CC}">
                  <c16:uniqueId val="{0000000B-98A1-4655-B21A-BEDB05F17114}"/>
                </c:ext>
              </c:extLst>
            </c:dLbl>
            <c:dLbl>
              <c:idx val="2"/>
              <c:delete val="1"/>
              <c:extLst>
                <c:ext xmlns:c15="http://schemas.microsoft.com/office/drawing/2012/chart" uri="{CE6537A1-D6FC-4f65-9D91-7224C49458BB}"/>
                <c:ext xmlns:c16="http://schemas.microsoft.com/office/drawing/2014/chart" uri="{C3380CC4-5D6E-409C-BE32-E72D297353CC}">
                  <c16:uniqueId val="{0000000C-98A1-4655-B21A-BEDB05F17114}"/>
                </c:ext>
              </c:extLst>
            </c:dLbl>
            <c:dLbl>
              <c:idx val="3"/>
              <c:delete val="1"/>
              <c:extLst>
                <c:ext xmlns:c15="http://schemas.microsoft.com/office/drawing/2012/chart" uri="{CE6537A1-D6FC-4f65-9D91-7224C49458BB}"/>
                <c:ext xmlns:c16="http://schemas.microsoft.com/office/drawing/2014/chart" uri="{C3380CC4-5D6E-409C-BE32-E72D297353CC}">
                  <c16:uniqueId val="{0000000D-98A1-4655-B21A-BEDB05F17114}"/>
                </c:ext>
              </c:extLst>
            </c:dLbl>
            <c:dLbl>
              <c:idx val="4"/>
              <c:delete val="1"/>
              <c:extLst>
                <c:ext xmlns:c15="http://schemas.microsoft.com/office/drawing/2012/chart" uri="{CE6537A1-D6FC-4f65-9D91-7224C49458BB}"/>
                <c:ext xmlns:c16="http://schemas.microsoft.com/office/drawing/2014/chart" uri="{C3380CC4-5D6E-409C-BE32-E72D297353CC}">
                  <c16:uniqueId val="{0000000E-98A1-4655-B21A-BEDB05F17114}"/>
                </c:ext>
              </c:extLst>
            </c:dLbl>
            <c:dLbl>
              <c:idx val="5"/>
              <c:delete val="1"/>
              <c:extLst>
                <c:ext xmlns:c15="http://schemas.microsoft.com/office/drawing/2012/chart" uri="{CE6537A1-D6FC-4f65-9D91-7224C49458BB}"/>
                <c:ext xmlns:c16="http://schemas.microsoft.com/office/drawing/2014/chart" uri="{C3380CC4-5D6E-409C-BE32-E72D297353CC}">
                  <c16:uniqueId val="{0000000F-98A1-4655-B21A-BEDB05F17114}"/>
                </c:ext>
              </c:extLst>
            </c:dLbl>
            <c:dLbl>
              <c:idx val="6"/>
              <c:delete val="1"/>
              <c:extLst>
                <c:ext xmlns:c15="http://schemas.microsoft.com/office/drawing/2012/chart" uri="{CE6537A1-D6FC-4f65-9D91-7224C49458BB}"/>
                <c:ext xmlns:c16="http://schemas.microsoft.com/office/drawing/2014/chart" uri="{C3380CC4-5D6E-409C-BE32-E72D297353CC}">
                  <c16:uniqueId val="{00000010-98A1-4655-B21A-BEDB05F17114}"/>
                </c:ext>
              </c:extLst>
            </c:dLbl>
            <c:dLbl>
              <c:idx val="7"/>
              <c:delete val="1"/>
              <c:extLst>
                <c:ext xmlns:c15="http://schemas.microsoft.com/office/drawing/2012/chart" uri="{CE6537A1-D6FC-4f65-9D91-7224C49458BB}"/>
                <c:ext xmlns:c16="http://schemas.microsoft.com/office/drawing/2014/chart" uri="{C3380CC4-5D6E-409C-BE32-E72D297353CC}">
                  <c16:uniqueId val="{00000011-98A1-4655-B21A-BEDB05F17114}"/>
                </c:ext>
              </c:extLst>
            </c:dLbl>
            <c:dLbl>
              <c:idx val="8"/>
              <c:delete val="1"/>
              <c:extLst>
                <c:ext xmlns:c15="http://schemas.microsoft.com/office/drawing/2012/chart" uri="{CE6537A1-D6FC-4f65-9D91-7224C49458BB}"/>
                <c:ext xmlns:c16="http://schemas.microsoft.com/office/drawing/2014/chart" uri="{C3380CC4-5D6E-409C-BE32-E72D297353CC}">
                  <c16:uniqueId val="{00000012-98A1-4655-B21A-BEDB05F17114}"/>
                </c:ext>
              </c:extLst>
            </c:dLbl>
            <c:dLbl>
              <c:idx val="9"/>
              <c:layout>
                <c:manualLayout>
                  <c:x val="8.1600699989307551E-2"/>
                  <c:y val="3.1020519488333953E-4"/>
                </c:manualLayout>
              </c:layout>
              <c:tx>
                <c:rich>
                  <a:bodyPr rot="0" spcFirstLastPara="1" vertOverflow="ellipsis" vert="horz" wrap="square" lIns="38100" tIns="19050" rIns="38100" bIns="19050" anchor="ctr" anchorCtr="1">
                    <a:noAutofit/>
                  </a:bodyPr>
                  <a:lstStyle/>
                  <a:p>
                    <a:pPr>
                      <a:defRPr sz="1050" b="0" i="1" u="none" strike="noStrike" kern="1200" baseline="0">
                        <a:solidFill>
                          <a:schemeClr val="tx1"/>
                        </a:solidFill>
                        <a:latin typeface="+mn-lt"/>
                        <a:ea typeface="+mn-ea"/>
                        <a:cs typeface="+mn-cs"/>
                      </a:defRPr>
                    </a:pPr>
                    <a:fld id="{3B5C011E-F080-4E25-B6C5-8C4C9CC7723C}" type="SERIESNAME">
                      <a:rPr lang="en-US"/>
                      <a:pPr>
                        <a:defRPr sz="1050" i="1"/>
                      </a:pPr>
                      <a:t>[SERIES NAME]</a:t>
                    </a:fld>
                    <a:endParaRPr lang="en-US"/>
                  </a:p>
                  <a:p>
                    <a:pPr>
                      <a:defRPr sz="1050" i="1"/>
                    </a:pPr>
                    <a:endParaRPr lang="en-US"/>
                  </a:p>
                </c:rich>
              </c:tx>
              <c:spPr>
                <a:noFill/>
                <a:ln>
                  <a:noFill/>
                </a:ln>
                <a:effectLst/>
              </c:spPr>
              <c:txPr>
                <a:bodyPr rot="0" spcFirstLastPara="1" vertOverflow="ellipsis" vert="horz" wrap="square" lIns="38100" tIns="19050" rIns="38100" bIns="19050" anchor="ctr" anchorCtr="1">
                  <a:noAutofit/>
                </a:bodyPr>
                <a:lstStyle/>
                <a:p>
                  <a:pPr>
                    <a:defRPr sz="1050" b="0" i="1"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layout>
                    <c:manualLayout>
                      <c:w val="0.16007329392845601"/>
                      <c:h val="6.9277599409790697E-2"/>
                    </c:manualLayout>
                  </c15:layout>
                  <c15:dlblFieldTable/>
                  <c15:showDataLabelsRange val="0"/>
                </c:ext>
                <c:ext xmlns:c16="http://schemas.microsoft.com/office/drawing/2014/chart" uri="{C3380CC4-5D6E-409C-BE32-E72D297353CC}">
                  <c16:uniqueId val="{0000000B-C20C-4E74-B880-D92AC9A2B401}"/>
                </c:ext>
              </c:extLst>
            </c:dLbl>
            <c:dLbl>
              <c:idx val="10"/>
              <c:delete val="1"/>
              <c:extLst>
                <c:ext xmlns:c15="http://schemas.microsoft.com/office/drawing/2012/chart" uri="{CE6537A1-D6FC-4f65-9D91-7224C49458BB}"/>
                <c:ext xmlns:c16="http://schemas.microsoft.com/office/drawing/2014/chart" uri="{C3380CC4-5D6E-409C-BE32-E72D297353CC}">
                  <c16:uniqueId val="{00000013-98A1-4655-B21A-BEDB05F17114}"/>
                </c:ext>
              </c:extLst>
            </c:dLbl>
            <c:spPr>
              <a:noFill/>
              <a:ln>
                <a:noFill/>
              </a:ln>
              <a:effectLst/>
            </c:spPr>
            <c:txPr>
              <a:bodyPr rot="0" spcFirstLastPara="1" vertOverflow="ellipsis" vert="horz" wrap="square" lIns="38100" tIns="19050" rIns="38100" bIns="19050" anchor="ctr" anchorCtr="1">
                <a:spAutoFit/>
              </a:bodyPr>
              <a:lstStyle/>
              <a:p>
                <a:pPr>
                  <a:defRPr sz="1050" b="0" i="1"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Tech'!$CL$155:$CV$155</c:f>
              <c:numCache>
                <c:formatCode>General</c:formatCode>
                <c:ptCount val="11"/>
                <c:pt idx="0">
                  <c:v>7</c:v>
                </c:pt>
                <c:pt idx="1">
                  <c:v>9</c:v>
                </c:pt>
                <c:pt idx="2">
                  <c:v>10</c:v>
                </c:pt>
                <c:pt idx="3">
                  <c:v>10</c:v>
                </c:pt>
                <c:pt idx="4">
                  <c:v>12</c:v>
                </c:pt>
                <c:pt idx="5">
                  <c:v>12</c:v>
                </c:pt>
                <c:pt idx="6">
                  <c:v>12</c:v>
                </c:pt>
                <c:pt idx="7">
                  <c:v>12</c:v>
                </c:pt>
                <c:pt idx="8">
                  <c:v>12</c:v>
                </c:pt>
                <c:pt idx="9">
                  <c:v>10</c:v>
                </c:pt>
                <c:pt idx="10">
                  <c:v>10</c:v>
                </c:pt>
              </c:numCache>
            </c:numRef>
          </c:val>
          <c:smooth val="0"/>
          <c:extLst>
            <c:ext xmlns:c16="http://schemas.microsoft.com/office/drawing/2014/chart" uri="{C3380CC4-5D6E-409C-BE32-E72D297353CC}">
              <c16:uniqueId val="{0000000F-7F83-4631-BD2F-DD9DBD7A1553}"/>
            </c:ext>
          </c:extLst>
        </c:ser>
        <c:ser>
          <c:idx val="6"/>
          <c:order val="6"/>
          <c:tx>
            <c:strRef>
              <c:f>'Ch4. Applications leading Tech'!$CK$156</c:f>
              <c:strCache>
                <c:ptCount val="1"/>
                <c:pt idx="0">
                  <c:v>Optics</c:v>
                </c:pt>
              </c:strCache>
            </c:strRef>
          </c:tx>
          <c:spPr>
            <a:ln w="38100" cap="rnd">
              <a:solidFill>
                <a:schemeClr val="accent1">
                  <a:lumMod val="60000"/>
                </a:schemeClr>
              </a:solidFill>
              <a:round/>
            </a:ln>
            <a:effectLst/>
          </c:spPr>
          <c:marker>
            <c:symbol val="none"/>
          </c:marker>
          <c:dLbls>
            <c:dLbl>
              <c:idx val="9"/>
              <c:layout>
                <c:manualLayout>
                  <c:x val="8.1600617614365503E-2"/>
                  <c:y val="-7.061557879753345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20C-4E74-B880-D92AC9A2B40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Tech'!$CL$156:$CV$156</c:f>
              <c:numCache>
                <c:formatCode>General</c:formatCode>
                <c:ptCount val="11"/>
                <c:pt idx="0">
                  <c:v>12</c:v>
                </c:pt>
                <c:pt idx="1">
                  <c:v>12</c:v>
                </c:pt>
                <c:pt idx="2">
                  <c:v>12</c:v>
                </c:pt>
                <c:pt idx="3">
                  <c:v>12</c:v>
                </c:pt>
                <c:pt idx="4">
                  <c:v>10</c:v>
                </c:pt>
                <c:pt idx="5">
                  <c:v>10</c:v>
                </c:pt>
                <c:pt idx="6">
                  <c:v>10</c:v>
                </c:pt>
                <c:pt idx="7">
                  <c:v>10</c:v>
                </c:pt>
                <c:pt idx="8">
                  <c:v>10</c:v>
                </c:pt>
                <c:pt idx="9">
                  <c:v>12</c:v>
                </c:pt>
                <c:pt idx="10">
                  <c:v>11</c:v>
                </c:pt>
              </c:numCache>
            </c:numRef>
          </c:val>
          <c:smooth val="0"/>
          <c:extLst>
            <c:ext xmlns:c16="http://schemas.microsoft.com/office/drawing/2014/chart" uri="{C3380CC4-5D6E-409C-BE32-E72D297353CC}">
              <c16:uniqueId val="{00000012-7F83-4631-BD2F-DD9DBD7A1553}"/>
            </c:ext>
          </c:extLst>
        </c:ser>
        <c:ser>
          <c:idx val="7"/>
          <c:order val="7"/>
          <c:tx>
            <c:strRef>
              <c:f>'Ch4. Applications leading Tech'!$CK$157</c:f>
              <c:strCache>
                <c:ptCount val="1"/>
                <c:pt idx="0">
                  <c:v>Electrical machinery, apparatus, energy</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F83-4631-BD2F-DD9DBD7A1553}"/>
                </c:ext>
              </c:extLst>
            </c:dLbl>
            <c:dLbl>
              <c:idx val="8"/>
              <c:delete val="1"/>
              <c:extLst>
                <c:ext xmlns:c15="http://schemas.microsoft.com/office/drawing/2012/chart" uri="{CE6537A1-D6FC-4f65-9D91-7224C49458BB}"/>
                <c:ext xmlns:c16="http://schemas.microsoft.com/office/drawing/2014/chart" uri="{C3380CC4-5D6E-409C-BE32-E72D297353CC}">
                  <c16:uniqueId val="{00000014-7F83-4631-BD2F-DD9DBD7A1553}"/>
                </c:ext>
              </c:extLst>
            </c:dLbl>
            <c:dLbl>
              <c:idx val="9"/>
              <c:layout>
                <c:manualLayout>
                  <c:x val="6.4862029385777828E-2"/>
                  <c:y val="-7.4332188207929953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0494308962377222"/>
                      <c:h val="9.2803736977600554E-2"/>
                    </c:manualLayout>
                  </c15:layout>
                </c:ext>
                <c:ext xmlns:c16="http://schemas.microsoft.com/office/drawing/2014/chart" uri="{C3380CC4-5D6E-409C-BE32-E72D297353CC}">
                  <c16:uniqueId val="{00000004-C20C-4E74-B880-D92AC9A2B4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Tech'!$CL$157:$CV$157</c:f>
              <c:numCache>
                <c:formatCode>General</c:formatCode>
                <c:ptCount val="11"/>
                <c:pt idx="0">
                  <c:v>5</c:v>
                </c:pt>
                <c:pt idx="1">
                  <c:v>4</c:v>
                </c:pt>
                <c:pt idx="2">
                  <c:v>4</c:v>
                </c:pt>
                <c:pt idx="3">
                  <c:v>4</c:v>
                </c:pt>
                <c:pt idx="4">
                  <c:v>4</c:v>
                </c:pt>
                <c:pt idx="5">
                  <c:v>4</c:v>
                </c:pt>
                <c:pt idx="6">
                  <c:v>4</c:v>
                </c:pt>
                <c:pt idx="7">
                  <c:v>4</c:v>
                </c:pt>
                <c:pt idx="8">
                  <c:v>4</c:v>
                </c:pt>
                <c:pt idx="9">
                  <c:v>4</c:v>
                </c:pt>
                <c:pt idx="10">
                  <c:v>4</c:v>
                </c:pt>
              </c:numCache>
            </c:numRef>
          </c:val>
          <c:smooth val="0"/>
          <c:extLst>
            <c:ext xmlns:c16="http://schemas.microsoft.com/office/drawing/2014/chart" uri="{C3380CC4-5D6E-409C-BE32-E72D297353CC}">
              <c16:uniqueId val="{00000015-7F83-4631-BD2F-DD9DBD7A1553}"/>
            </c:ext>
          </c:extLst>
        </c:ser>
        <c:ser>
          <c:idx val="8"/>
          <c:order val="8"/>
          <c:tx>
            <c:strRef>
              <c:f>'Ch4. Applications leading Tech'!$CK$158</c:f>
              <c:strCache>
                <c:ptCount val="1"/>
                <c:pt idx="0">
                  <c:v>Medical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F83-4631-BD2F-DD9DBD7A1553}"/>
                </c:ext>
              </c:extLst>
            </c:dLbl>
            <c:dLbl>
              <c:idx val="9"/>
              <c:layout>
                <c:manualLayout>
                  <c:x val="7.9508294085792186E-2"/>
                  <c:y val="-3.7166094103965662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Tech'!$CL$158:$CV$158</c:f>
              <c:numCache>
                <c:formatCode>General</c:formatCode>
                <c:ptCount val="11"/>
                <c:pt idx="0">
                  <c:v>2</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18-7F83-4631-BD2F-DD9DBD7A1553}"/>
            </c:ext>
          </c:extLst>
        </c:ser>
        <c:ser>
          <c:idx val="9"/>
          <c:order val="9"/>
          <c:tx>
            <c:strRef>
              <c:f>'Ch4. Applications leading Tech'!$CK$159</c:f>
              <c:strCache>
                <c:ptCount val="1"/>
                <c:pt idx="0">
                  <c:v>Digital communication</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F83-4631-BD2F-DD9DBD7A1553}"/>
                </c:ext>
              </c:extLst>
            </c:dLbl>
            <c:dLbl>
              <c:idx val="9"/>
              <c:layout>
                <c:manualLayout>
                  <c:x val="7.741613530710284E-2"/>
                  <c:y val="-7.433072497587896E-3"/>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986396931566359"/>
                      <c:h val="6.9277599409790697E-2"/>
                    </c:manualLayout>
                  </c15:layout>
                </c:ext>
                <c:ext xmlns:c16="http://schemas.microsoft.com/office/drawing/2014/chart" uri="{C3380CC4-5D6E-409C-BE32-E72D297353CC}">
                  <c16:uniqueId val="{00000002-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Tech'!$CL$159:$CV$159</c:f>
              <c:numCache>
                <c:formatCode>General</c:formatCode>
                <c:ptCount val="11"/>
                <c:pt idx="0">
                  <c:v>4</c:v>
                </c:pt>
                <c:pt idx="1">
                  <c:v>2</c:v>
                </c:pt>
                <c:pt idx="2">
                  <c:v>2</c:v>
                </c:pt>
                <c:pt idx="3">
                  <c:v>2</c:v>
                </c:pt>
                <c:pt idx="4">
                  <c:v>2</c:v>
                </c:pt>
                <c:pt idx="5">
                  <c:v>2</c:v>
                </c:pt>
                <c:pt idx="6">
                  <c:v>2</c:v>
                </c:pt>
                <c:pt idx="7">
                  <c:v>2</c:v>
                </c:pt>
                <c:pt idx="8">
                  <c:v>2</c:v>
                </c:pt>
                <c:pt idx="9">
                  <c:v>2</c:v>
                </c:pt>
                <c:pt idx="10">
                  <c:v>2</c:v>
                </c:pt>
              </c:numCache>
            </c:numRef>
          </c:val>
          <c:smooth val="0"/>
          <c:extLst>
            <c:ext xmlns:c16="http://schemas.microsoft.com/office/drawing/2014/chart" uri="{C3380CC4-5D6E-409C-BE32-E72D297353CC}">
              <c16:uniqueId val="{0000001B-7F83-4631-BD2F-DD9DBD7A1553}"/>
            </c:ext>
          </c:extLst>
        </c:ser>
        <c:ser>
          <c:idx val="11"/>
          <c:order val="10"/>
          <c:tx>
            <c:strRef>
              <c:f>'Ch4. Applications leading Tech'!$CK$161</c:f>
              <c:strCache>
                <c:ptCount val="1"/>
                <c:pt idx="0">
                  <c:v>Computer technology</c:v>
                </c:pt>
              </c:strCache>
            </c:strRef>
          </c:tx>
          <c:spPr>
            <a:ln w="38100"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F83-4631-BD2F-DD9DBD7A1553}"/>
                </c:ext>
              </c:extLst>
            </c:dLbl>
            <c:dLbl>
              <c:idx val="9"/>
              <c:layout>
                <c:manualLayout>
                  <c:x val="7.4277485264358484E-2"/>
                  <c:y val="-5.5749141155947805E-3"/>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255054567632875"/>
                      <c:h val="8.7860646461773231E-2"/>
                    </c:manualLayout>
                  </c15:layout>
                </c:ext>
                <c:ext xmlns:c16="http://schemas.microsoft.com/office/drawing/2014/chart" uri="{C3380CC4-5D6E-409C-BE32-E72D297353CC}">
                  <c16:uniqueId val="{00000001-C20C-4E74-B880-D92AC9A2B40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Tech'!$CL$149:$CV$149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'Ch4. Applications leading Tech'!$CL$161:$CV$161</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smooth val="0"/>
          <c:extLst>
            <c:ext xmlns:c16="http://schemas.microsoft.com/office/drawing/2014/chart" uri="{C3380CC4-5D6E-409C-BE32-E72D297353CC}">
              <c16:uniqueId val="{0000001E-7F83-4631-BD2F-DD9DBD7A1553}"/>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4.5: GRANTED PATENTS - DOMESTIC AND FOREIGN</a:t>
            </a:r>
            <a:r>
              <a:rPr lang="en-GB" b="1" baseline="0"/>
              <a:t> ORIGIN (THOUSAND)</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4.8793667913350101E-3"/>
          <c:y val="0.24468777455989066"/>
          <c:w val="0.98684603886397604"/>
          <c:h val="0.67263765051122593"/>
        </c:manualLayout>
      </c:layout>
      <c:barChart>
        <c:barDir val="col"/>
        <c:grouping val="stacked"/>
        <c:varyColors val="0"/>
        <c:ser>
          <c:idx val="0"/>
          <c:order val="0"/>
          <c:tx>
            <c:strRef>
              <c:f>'Ch4. Granted Patents'!$B$45</c:f>
              <c:strCache>
                <c:ptCount val="1"/>
                <c:pt idx="0">
                  <c:v>Domestic</c:v>
                </c:pt>
              </c:strCache>
            </c:strRef>
          </c:tx>
          <c:spPr>
            <a:solidFill>
              <a:schemeClr val="accent1"/>
            </a:solidFill>
            <a:ln>
              <a:noFill/>
            </a:ln>
            <a:effectLst/>
          </c:spPr>
          <c:invertIfNegative val="0"/>
          <c:dPt>
            <c:idx val="14"/>
            <c:invertIfNegative val="0"/>
            <c:bubble3D val="0"/>
            <c:spPr>
              <a:solidFill>
                <a:srgbClr val="FF0000"/>
              </a:solidFill>
              <a:ln>
                <a:noFill/>
              </a:ln>
              <a:effectLst/>
            </c:spPr>
            <c:extLst>
              <c:ext xmlns:c16="http://schemas.microsoft.com/office/drawing/2014/chart" uri="{C3380CC4-5D6E-409C-BE32-E72D297353CC}">
                <c16:uniqueId val="{0000001D-F567-460B-BBE9-E5221FF425BA}"/>
              </c:ext>
            </c:extLst>
          </c:dPt>
          <c:dPt>
            <c:idx val="15"/>
            <c:invertIfNegative val="0"/>
            <c:bubble3D val="0"/>
            <c:spPr>
              <a:solidFill>
                <a:srgbClr val="FF0000"/>
              </a:solidFill>
              <a:ln>
                <a:noFill/>
              </a:ln>
              <a:effectLst/>
            </c:spPr>
            <c:extLst>
              <c:ext xmlns:c16="http://schemas.microsoft.com/office/drawing/2014/chart" uri="{C3380CC4-5D6E-409C-BE32-E72D297353CC}">
                <c16:uniqueId val="{0000001F-F567-460B-BBE9-E5221FF425BA}"/>
              </c:ext>
            </c:extLst>
          </c:dPt>
          <c:dPt>
            <c:idx val="16"/>
            <c:invertIfNegative val="0"/>
            <c:bubble3D val="0"/>
            <c:spPr>
              <a:solidFill>
                <a:srgbClr val="FF0000"/>
              </a:solidFill>
              <a:ln>
                <a:noFill/>
              </a:ln>
              <a:effectLst/>
            </c:spPr>
            <c:extLst>
              <c:ext xmlns:c16="http://schemas.microsoft.com/office/drawing/2014/chart" uri="{C3380CC4-5D6E-409C-BE32-E72D297353CC}">
                <c16:uniqueId val="{00000021-F567-460B-BBE9-E5221FF425BA}"/>
              </c:ext>
            </c:extLst>
          </c:dPt>
          <c:dPt>
            <c:idx val="17"/>
            <c:invertIfNegative val="0"/>
            <c:bubble3D val="0"/>
            <c:spPr>
              <a:solidFill>
                <a:srgbClr val="FF0000"/>
              </a:solidFill>
              <a:ln>
                <a:noFill/>
              </a:ln>
              <a:effectLst/>
            </c:spPr>
            <c:extLst>
              <c:ext xmlns:c16="http://schemas.microsoft.com/office/drawing/2014/chart" uri="{C3380CC4-5D6E-409C-BE32-E72D297353CC}">
                <c16:uniqueId val="{00000023-F567-460B-BBE9-E5221FF425BA}"/>
              </c:ext>
            </c:extLst>
          </c:dPt>
          <c:dPt>
            <c:idx val="18"/>
            <c:invertIfNegative val="0"/>
            <c:bubble3D val="0"/>
            <c:spPr>
              <a:solidFill>
                <a:srgbClr val="FF0000"/>
              </a:solidFill>
              <a:ln>
                <a:noFill/>
              </a:ln>
              <a:effectLst/>
            </c:spPr>
            <c:extLst>
              <c:ext xmlns:c16="http://schemas.microsoft.com/office/drawing/2014/chart" uri="{C3380CC4-5D6E-409C-BE32-E72D297353CC}">
                <c16:uniqueId val="{00000025-F567-460B-BBE9-E5221FF425BA}"/>
              </c:ext>
            </c:extLst>
          </c:dPt>
          <c:dPt>
            <c:idx val="19"/>
            <c:invertIfNegative val="0"/>
            <c:bubble3D val="0"/>
            <c:spPr>
              <a:solidFill>
                <a:srgbClr val="FF0000"/>
              </a:solidFill>
              <a:ln>
                <a:noFill/>
              </a:ln>
              <a:effectLst/>
            </c:spPr>
            <c:extLst>
              <c:ext xmlns:c16="http://schemas.microsoft.com/office/drawing/2014/chart" uri="{C3380CC4-5D6E-409C-BE32-E72D297353CC}">
                <c16:uniqueId val="{00000027-F567-460B-BBE9-E5221FF425BA}"/>
              </c:ext>
            </c:extLst>
          </c:dPt>
          <c:dPt>
            <c:idx val="20"/>
            <c:invertIfNegative val="0"/>
            <c:bubble3D val="0"/>
            <c:spPr>
              <a:solidFill>
                <a:srgbClr val="FF0000"/>
              </a:solidFill>
              <a:ln>
                <a:noFill/>
              </a:ln>
              <a:effectLst/>
            </c:spPr>
            <c:extLst>
              <c:ext xmlns:c16="http://schemas.microsoft.com/office/drawing/2014/chart" uri="{C3380CC4-5D6E-409C-BE32-E72D297353CC}">
                <c16:uniqueId val="{00000029-F567-460B-BBE9-E5221FF425BA}"/>
              </c:ext>
            </c:extLst>
          </c:dPt>
          <c:dPt>
            <c:idx val="21"/>
            <c:invertIfNegative val="0"/>
            <c:bubble3D val="0"/>
            <c:spPr>
              <a:solidFill>
                <a:srgbClr val="FF0000"/>
              </a:solidFill>
              <a:ln>
                <a:noFill/>
              </a:ln>
              <a:effectLst/>
            </c:spPr>
            <c:extLst>
              <c:ext xmlns:c16="http://schemas.microsoft.com/office/drawing/2014/chart" uri="{C3380CC4-5D6E-409C-BE32-E72D297353CC}">
                <c16:uniqueId val="{0000002B-F567-460B-BBE9-E5221FF425BA}"/>
              </c:ext>
            </c:extLst>
          </c:dPt>
          <c:dPt>
            <c:idx val="22"/>
            <c:invertIfNegative val="0"/>
            <c:bubble3D val="0"/>
            <c:spPr>
              <a:solidFill>
                <a:srgbClr val="FF0000"/>
              </a:solidFill>
              <a:ln>
                <a:noFill/>
              </a:ln>
              <a:effectLst/>
            </c:spPr>
            <c:extLst>
              <c:ext xmlns:c16="http://schemas.microsoft.com/office/drawing/2014/chart" uri="{C3380CC4-5D6E-409C-BE32-E72D297353CC}">
                <c16:uniqueId val="{0000002D-F567-460B-BBE9-E5221FF425BA}"/>
              </c:ext>
            </c:extLst>
          </c:dPt>
          <c:dPt>
            <c:idx val="23"/>
            <c:invertIfNegative val="0"/>
            <c:bubble3D val="0"/>
            <c:spPr>
              <a:solidFill>
                <a:srgbClr val="FF0000"/>
              </a:solidFill>
              <a:ln>
                <a:noFill/>
              </a:ln>
              <a:effectLst/>
            </c:spPr>
            <c:extLst>
              <c:ext xmlns:c16="http://schemas.microsoft.com/office/drawing/2014/chart" uri="{C3380CC4-5D6E-409C-BE32-E72D297353CC}">
                <c16:uniqueId val="{0000002F-F567-460B-BBE9-E5221FF425BA}"/>
              </c:ext>
            </c:extLst>
          </c:dPt>
          <c:dPt>
            <c:idx val="24"/>
            <c:invertIfNegative val="0"/>
            <c:bubble3D val="0"/>
            <c:spPr>
              <a:solidFill>
                <a:srgbClr val="FF0000"/>
              </a:solidFill>
              <a:ln>
                <a:noFill/>
              </a:ln>
              <a:effectLst/>
            </c:spPr>
            <c:extLst>
              <c:ext xmlns:c16="http://schemas.microsoft.com/office/drawing/2014/chart" uri="{C3380CC4-5D6E-409C-BE32-E72D297353CC}">
                <c16:uniqueId val="{00000031-F567-460B-BBE9-E5221FF425BA}"/>
              </c:ext>
            </c:extLst>
          </c:dPt>
          <c:dPt>
            <c:idx val="25"/>
            <c:invertIfNegative val="0"/>
            <c:bubble3D val="0"/>
            <c:spPr>
              <a:solidFill>
                <a:srgbClr val="FF0000"/>
              </a:solidFill>
              <a:ln>
                <a:noFill/>
              </a:ln>
              <a:effectLst/>
            </c:spPr>
            <c:extLst>
              <c:ext xmlns:c16="http://schemas.microsoft.com/office/drawing/2014/chart" uri="{C3380CC4-5D6E-409C-BE32-E72D297353CC}">
                <c16:uniqueId val="{00000017-BBC8-4AE2-B843-7D43000A1FA1}"/>
              </c:ext>
            </c:extLst>
          </c:dPt>
          <c:dPt>
            <c:idx val="26"/>
            <c:invertIfNegative val="0"/>
            <c:bubble3D val="0"/>
            <c:spPr>
              <a:solidFill>
                <a:srgbClr val="FF0000"/>
              </a:solidFill>
              <a:ln>
                <a:noFill/>
              </a:ln>
              <a:effectLst/>
            </c:spPr>
            <c:extLst>
              <c:ext xmlns:c16="http://schemas.microsoft.com/office/drawing/2014/chart" uri="{C3380CC4-5D6E-409C-BE32-E72D297353CC}">
                <c16:uniqueId val="{00000035-F567-460B-BBE9-E5221FF425BA}"/>
              </c:ext>
            </c:extLst>
          </c:dPt>
          <c:dPt>
            <c:idx val="28"/>
            <c:invertIfNegative val="0"/>
            <c:bubble3D val="0"/>
            <c:spPr>
              <a:solidFill>
                <a:srgbClr val="7030A0"/>
              </a:solidFill>
              <a:ln>
                <a:noFill/>
              </a:ln>
              <a:effectLst/>
            </c:spPr>
            <c:extLst>
              <c:ext xmlns:c16="http://schemas.microsoft.com/office/drawing/2014/chart" uri="{C3380CC4-5D6E-409C-BE32-E72D297353CC}">
                <c16:uniqueId val="{00000039-F567-460B-BBE9-E5221FF425BA}"/>
              </c:ext>
            </c:extLst>
          </c:dPt>
          <c:dPt>
            <c:idx val="29"/>
            <c:invertIfNegative val="0"/>
            <c:bubble3D val="0"/>
            <c:spPr>
              <a:solidFill>
                <a:srgbClr val="7030A0"/>
              </a:solidFill>
              <a:ln>
                <a:noFill/>
              </a:ln>
              <a:effectLst/>
            </c:spPr>
            <c:extLst>
              <c:ext xmlns:c16="http://schemas.microsoft.com/office/drawing/2014/chart" uri="{C3380CC4-5D6E-409C-BE32-E72D297353CC}">
                <c16:uniqueId val="{0000003B-F567-460B-BBE9-E5221FF425BA}"/>
              </c:ext>
            </c:extLst>
          </c:dPt>
          <c:dPt>
            <c:idx val="30"/>
            <c:invertIfNegative val="0"/>
            <c:bubble3D val="0"/>
            <c:spPr>
              <a:solidFill>
                <a:srgbClr val="7030A0"/>
              </a:solidFill>
              <a:ln>
                <a:noFill/>
              </a:ln>
              <a:effectLst/>
            </c:spPr>
            <c:extLst>
              <c:ext xmlns:c16="http://schemas.microsoft.com/office/drawing/2014/chart" uri="{C3380CC4-5D6E-409C-BE32-E72D297353CC}">
                <c16:uniqueId val="{0000003D-F567-460B-BBE9-E5221FF425BA}"/>
              </c:ext>
            </c:extLst>
          </c:dPt>
          <c:dPt>
            <c:idx val="31"/>
            <c:invertIfNegative val="0"/>
            <c:bubble3D val="0"/>
            <c:spPr>
              <a:solidFill>
                <a:srgbClr val="7030A0"/>
              </a:solidFill>
              <a:ln>
                <a:noFill/>
              </a:ln>
              <a:effectLst/>
            </c:spPr>
            <c:extLst>
              <c:ext xmlns:c16="http://schemas.microsoft.com/office/drawing/2014/chart" uri="{C3380CC4-5D6E-409C-BE32-E72D297353CC}">
                <c16:uniqueId val="{0000003F-F567-460B-BBE9-E5221FF425BA}"/>
              </c:ext>
            </c:extLst>
          </c:dPt>
          <c:dPt>
            <c:idx val="32"/>
            <c:invertIfNegative val="0"/>
            <c:bubble3D val="0"/>
            <c:spPr>
              <a:solidFill>
                <a:srgbClr val="7030A0"/>
              </a:solidFill>
              <a:ln>
                <a:noFill/>
              </a:ln>
              <a:effectLst/>
            </c:spPr>
            <c:extLst>
              <c:ext xmlns:c16="http://schemas.microsoft.com/office/drawing/2014/chart" uri="{C3380CC4-5D6E-409C-BE32-E72D297353CC}">
                <c16:uniqueId val="{00000041-F567-460B-BBE9-E5221FF425BA}"/>
              </c:ext>
            </c:extLst>
          </c:dPt>
          <c:dPt>
            <c:idx val="33"/>
            <c:invertIfNegative val="0"/>
            <c:bubble3D val="0"/>
            <c:spPr>
              <a:solidFill>
                <a:srgbClr val="7030A0"/>
              </a:solidFill>
              <a:ln>
                <a:noFill/>
              </a:ln>
              <a:effectLst/>
            </c:spPr>
            <c:extLst>
              <c:ext xmlns:c16="http://schemas.microsoft.com/office/drawing/2014/chart" uri="{C3380CC4-5D6E-409C-BE32-E72D297353CC}">
                <c16:uniqueId val="{00000043-F567-460B-BBE9-E5221FF425BA}"/>
              </c:ext>
            </c:extLst>
          </c:dPt>
          <c:dPt>
            <c:idx val="34"/>
            <c:invertIfNegative val="0"/>
            <c:bubble3D val="0"/>
            <c:spPr>
              <a:solidFill>
                <a:srgbClr val="7030A0"/>
              </a:solidFill>
              <a:ln>
                <a:noFill/>
              </a:ln>
              <a:effectLst/>
            </c:spPr>
            <c:extLst>
              <c:ext xmlns:c16="http://schemas.microsoft.com/office/drawing/2014/chart" uri="{C3380CC4-5D6E-409C-BE32-E72D297353CC}">
                <c16:uniqueId val="{00000045-F567-460B-BBE9-E5221FF425BA}"/>
              </c:ext>
            </c:extLst>
          </c:dPt>
          <c:dPt>
            <c:idx val="35"/>
            <c:invertIfNegative val="0"/>
            <c:bubble3D val="0"/>
            <c:spPr>
              <a:solidFill>
                <a:srgbClr val="7030A0"/>
              </a:solidFill>
              <a:ln>
                <a:noFill/>
              </a:ln>
              <a:effectLst/>
            </c:spPr>
            <c:extLst>
              <c:ext xmlns:c16="http://schemas.microsoft.com/office/drawing/2014/chart" uri="{C3380CC4-5D6E-409C-BE32-E72D297353CC}">
                <c16:uniqueId val="{00000047-F567-460B-BBE9-E5221FF425BA}"/>
              </c:ext>
            </c:extLst>
          </c:dPt>
          <c:dPt>
            <c:idx val="36"/>
            <c:invertIfNegative val="0"/>
            <c:bubble3D val="0"/>
            <c:spPr>
              <a:solidFill>
                <a:srgbClr val="7030A0"/>
              </a:solidFill>
              <a:ln>
                <a:noFill/>
              </a:ln>
              <a:effectLst/>
            </c:spPr>
            <c:extLst>
              <c:ext xmlns:c16="http://schemas.microsoft.com/office/drawing/2014/chart" uri="{C3380CC4-5D6E-409C-BE32-E72D297353CC}">
                <c16:uniqueId val="{00000049-F567-460B-BBE9-E5221FF425BA}"/>
              </c:ext>
            </c:extLst>
          </c:dPt>
          <c:dPt>
            <c:idx val="37"/>
            <c:invertIfNegative val="0"/>
            <c:bubble3D val="0"/>
            <c:spPr>
              <a:solidFill>
                <a:srgbClr val="7030A0"/>
              </a:solidFill>
              <a:ln>
                <a:noFill/>
              </a:ln>
              <a:effectLst/>
            </c:spPr>
            <c:extLst>
              <c:ext xmlns:c16="http://schemas.microsoft.com/office/drawing/2014/chart" uri="{C3380CC4-5D6E-409C-BE32-E72D297353CC}">
                <c16:uniqueId val="{0000004B-F567-460B-BBE9-E5221FF425BA}"/>
              </c:ext>
            </c:extLst>
          </c:dPt>
          <c:dPt>
            <c:idx val="38"/>
            <c:invertIfNegative val="0"/>
            <c:bubble3D val="0"/>
            <c:spPr>
              <a:solidFill>
                <a:srgbClr val="7030A0"/>
              </a:solidFill>
              <a:ln>
                <a:noFill/>
              </a:ln>
              <a:effectLst/>
            </c:spPr>
            <c:extLst>
              <c:ext xmlns:c16="http://schemas.microsoft.com/office/drawing/2014/chart" uri="{C3380CC4-5D6E-409C-BE32-E72D297353CC}">
                <c16:uniqueId val="{0000002F-BBC8-4AE2-B843-7D43000A1FA1}"/>
              </c:ext>
            </c:extLst>
          </c:dPt>
          <c:dPt>
            <c:idx val="39"/>
            <c:invertIfNegative val="0"/>
            <c:bubble3D val="0"/>
            <c:spPr>
              <a:solidFill>
                <a:srgbClr val="7030A0"/>
              </a:solidFill>
              <a:ln>
                <a:noFill/>
              </a:ln>
              <a:effectLst/>
            </c:spPr>
            <c:extLst>
              <c:ext xmlns:c16="http://schemas.microsoft.com/office/drawing/2014/chart" uri="{C3380CC4-5D6E-409C-BE32-E72D297353CC}">
                <c16:uniqueId val="{0000004F-F567-460B-BBE9-E5221FF425BA}"/>
              </c:ext>
            </c:extLst>
          </c:dPt>
          <c:dPt>
            <c:idx val="40"/>
            <c:invertIfNegative val="0"/>
            <c:bubble3D val="0"/>
            <c:spPr>
              <a:solidFill>
                <a:srgbClr val="7030A0"/>
              </a:solidFill>
              <a:ln>
                <a:noFill/>
              </a:ln>
              <a:effectLst/>
            </c:spPr>
            <c:extLst>
              <c:ext xmlns:c16="http://schemas.microsoft.com/office/drawing/2014/chart" uri="{C3380CC4-5D6E-409C-BE32-E72D297353CC}">
                <c16:uniqueId val="{00000051-F567-460B-BBE9-E5221FF425BA}"/>
              </c:ext>
            </c:extLst>
          </c:dPt>
          <c:dPt>
            <c:idx val="42"/>
            <c:invertIfNegative val="0"/>
            <c:bubble3D val="0"/>
            <c:spPr>
              <a:solidFill>
                <a:srgbClr val="FFC000"/>
              </a:solidFill>
              <a:ln>
                <a:noFill/>
              </a:ln>
              <a:effectLst/>
            </c:spPr>
            <c:extLst>
              <c:ext xmlns:c16="http://schemas.microsoft.com/office/drawing/2014/chart" uri="{C3380CC4-5D6E-409C-BE32-E72D297353CC}">
                <c16:uniqueId val="{00000055-F567-460B-BBE9-E5221FF425BA}"/>
              </c:ext>
            </c:extLst>
          </c:dPt>
          <c:dPt>
            <c:idx val="43"/>
            <c:invertIfNegative val="0"/>
            <c:bubble3D val="0"/>
            <c:spPr>
              <a:solidFill>
                <a:srgbClr val="FFC000"/>
              </a:solidFill>
              <a:ln>
                <a:noFill/>
              </a:ln>
              <a:effectLst/>
            </c:spPr>
            <c:extLst>
              <c:ext xmlns:c16="http://schemas.microsoft.com/office/drawing/2014/chart" uri="{C3380CC4-5D6E-409C-BE32-E72D297353CC}">
                <c16:uniqueId val="{00000057-F567-460B-BBE9-E5221FF425BA}"/>
              </c:ext>
            </c:extLst>
          </c:dPt>
          <c:dPt>
            <c:idx val="44"/>
            <c:invertIfNegative val="0"/>
            <c:bubble3D val="0"/>
            <c:spPr>
              <a:solidFill>
                <a:srgbClr val="FFC000"/>
              </a:solidFill>
              <a:ln>
                <a:noFill/>
              </a:ln>
              <a:effectLst/>
            </c:spPr>
            <c:extLst>
              <c:ext xmlns:c16="http://schemas.microsoft.com/office/drawing/2014/chart" uri="{C3380CC4-5D6E-409C-BE32-E72D297353CC}">
                <c16:uniqueId val="{00000059-F567-460B-BBE9-E5221FF425BA}"/>
              </c:ext>
            </c:extLst>
          </c:dPt>
          <c:dPt>
            <c:idx val="45"/>
            <c:invertIfNegative val="0"/>
            <c:bubble3D val="0"/>
            <c:spPr>
              <a:solidFill>
                <a:srgbClr val="FFC000"/>
              </a:solidFill>
              <a:ln>
                <a:noFill/>
              </a:ln>
              <a:effectLst/>
            </c:spPr>
            <c:extLst>
              <c:ext xmlns:c16="http://schemas.microsoft.com/office/drawing/2014/chart" uri="{C3380CC4-5D6E-409C-BE32-E72D297353CC}">
                <c16:uniqueId val="{0000005B-F567-460B-BBE9-E5221FF425BA}"/>
              </c:ext>
            </c:extLst>
          </c:dPt>
          <c:dPt>
            <c:idx val="46"/>
            <c:invertIfNegative val="0"/>
            <c:bubble3D val="0"/>
            <c:spPr>
              <a:solidFill>
                <a:srgbClr val="FFC000"/>
              </a:solidFill>
              <a:ln>
                <a:noFill/>
              </a:ln>
              <a:effectLst/>
            </c:spPr>
            <c:extLst>
              <c:ext xmlns:c16="http://schemas.microsoft.com/office/drawing/2014/chart" uri="{C3380CC4-5D6E-409C-BE32-E72D297353CC}">
                <c16:uniqueId val="{0000005D-F567-460B-BBE9-E5221FF425BA}"/>
              </c:ext>
            </c:extLst>
          </c:dPt>
          <c:dPt>
            <c:idx val="47"/>
            <c:invertIfNegative val="0"/>
            <c:bubble3D val="0"/>
            <c:spPr>
              <a:solidFill>
                <a:srgbClr val="FFC000"/>
              </a:solidFill>
              <a:ln>
                <a:noFill/>
              </a:ln>
              <a:effectLst/>
            </c:spPr>
            <c:extLst>
              <c:ext xmlns:c16="http://schemas.microsoft.com/office/drawing/2014/chart" uri="{C3380CC4-5D6E-409C-BE32-E72D297353CC}">
                <c16:uniqueId val="{0000005F-F567-460B-BBE9-E5221FF425BA}"/>
              </c:ext>
            </c:extLst>
          </c:dPt>
          <c:dPt>
            <c:idx val="48"/>
            <c:invertIfNegative val="0"/>
            <c:bubble3D val="0"/>
            <c:spPr>
              <a:solidFill>
                <a:srgbClr val="FFC000"/>
              </a:solidFill>
              <a:ln>
                <a:noFill/>
              </a:ln>
              <a:effectLst/>
            </c:spPr>
            <c:extLst>
              <c:ext xmlns:c16="http://schemas.microsoft.com/office/drawing/2014/chart" uri="{C3380CC4-5D6E-409C-BE32-E72D297353CC}">
                <c16:uniqueId val="{00000061-F567-460B-BBE9-E5221FF425BA}"/>
              </c:ext>
            </c:extLst>
          </c:dPt>
          <c:dPt>
            <c:idx val="49"/>
            <c:invertIfNegative val="0"/>
            <c:bubble3D val="0"/>
            <c:spPr>
              <a:solidFill>
                <a:srgbClr val="FFC000"/>
              </a:solidFill>
              <a:ln>
                <a:noFill/>
              </a:ln>
              <a:effectLst/>
            </c:spPr>
            <c:extLst>
              <c:ext xmlns:c16="http://schemas.microsoft.com/office/drawing/2014/chart" uri="{C3380CC4-5D6E-409C-BE32-E72D297353CC}">
                <c16:uniqueId val="{00000063-F567-460B-BBE9-E5221FF425BA}"/>
              </c:ext>
            </c:extLst>
          </c:dPt>
          <c:dPt>
            <c:idx val="50"/>
            <c:invertIfNegative val="0"/>
            <c:bubble3D val="0"/>
            <c:spPr>
              <a:solidFill>
                <a:srgbClr val="FFC000"/>
              </a:solidFill>
              <a:ln>
                <a:noFill/>
              </a:ln>
              <a:effectLst/>
            </c:spPr>
            <c:extLst>
              <c:ext xmlns:c16="http://schemas.microsoft.com/office/drawing/2014/chart" uri="{C3380CC4-5D6E-409C-BE32-E72D297353CC}">
                <c16:uniqueId val="{00000065-F567-460B-BBE9-E5221FF425BA}"/>
              </c:ext>
            </c:extLst>
          </c:dPt>
          <c:dPt>
            <c:idx val="51"/>
            <c:invertIfNegative val="0"/>
            <c:bubble3D val="0"/>
            <c:spPr>
              <a:solidFill>
                <a:srgbClr val="FFC000"/>
              </a:solidFill>
              <a:ln>
                <a:noFill/>
              </a:ln>
              <a:effectLst/>
            </c:spPr>
            <c:extLst>
              <c:ext xmlns:c16="http://schemas.microsoft.com/office/drawing/2014/chart" uri="{C3380CC4-5D6E-409C-BE32-E72D297353CC}">
                <c16:uniqueId val="{00000047-BBC8-4AE2-B843-7D43000A1FA1}"/>
              </c:ext>
            </c:extLst>
          </c:dPt>
          <c:dPt>
            <c:idx val="52"/>
            <c:invertIfNegative val="0"/>
            <c:bubble3D val="0"/>
            <c:spPr>
              <a:solidFill>
                <a:srgbClr val="FFC000"/>
              </a:solidFill>
              <a:ln>
                <a:noFill/>
              </a:ln>
              <a:effectLst/>
            </c:spPr>
            <c:extLst>
              <c:ext xmlns:c16="http://schemas.microsoft.com/office/drawing/2014/chart" uri="{C3380CC4-5D6E-409C-BE32-E72D297353CC}">
                <c16:uniqueId val="{00000069-F567-460B-BBE9-E5221FF425BA}"/>
              </c:ext>
            </c:extLst>
          </c:dPt>
          <c:dPt>
            <c:idx val="53"/>
            <c:invertIfNegative val="0"/>
            <c:bubble3D val="0"/>
            <c:spPr>
              <a:solidFill>
                <a:srgbClr val="FFC000"/>
              </a:solidFill>
              <a:ln>
                <a:noFill/>
              </a:ln>
              <a:effectLst/>
            </c:spPr>
            <c:extLst>
              <c:ext xmlns:c16="http://schemas.microsoft.com/office/drawing/2014/chart" uri="{C3380CC4-5D6E-409C-BE32-E72D297353CC}">
                <c16:uniqueId val="{0000006B-F567-460B-BBE9-E5221FF425BA}"/>
              </c:ext>
            </c:extLst>
          </c:dPt>
          <c:dPt>
            <c:idx val="54"/>
            <c:invertIfNegative val="0"/>
            <c:bubble3D val="0"/>
            <c:spPr>
              <a:solidFill>
                <a:schemeClr val="accent4"/>
              </a:solidFill>
              <a:ln>
                <a:noFill/>
              </a:ln>
              <a:effectLst/>
            </c:spPr>
            <c:extLst>
              <c:ext xmlns:c16="http://schemas.microsoft.com/office/drawing/2014/chart" uri="{C3380CC4-5D6E-409C-BE32-E72D297353CC}">
                <c16:uniqueId val="{0000006D-F567-460B-BBE9-E5221FF425BA}"/>
              </c:ext>
            </c:extLst>
          </c:dPt>
          <c:dPt>
            <c:idx val="55"/>
            <c:invertIfNegative val="0"/>
            <c:bubble3D val="0"/>
            <c:spPr>
              <a:solidFill>
                <a:schemeClr val="accent4"/>
              </a:solidFill>
              <a:ln>
                <a:noFill/>
              </a:ln>
              <a:effectLst/>
            </c:spPr>
            <c:extLst>
              <c:ext xmlns:c16="http://schemas.microsoft.com/office/drawing/2014/chart" uri="{C3380CC4-5D6E-409C-BE32-E72D297353CC}">
                <c16:uniqueId val="{0000006F-F567-460B-BBE9-E5221FF425BA}"/>
              </c:ext>
            </c:extLst>
          </c:dPt>
          <c:dPt>
            <c:idx val="56"/>
            <c:invertIfNegative val="0"/>
            <c:bubble3D val="0"/>
            <c:spPr>
              <a:solidFill>
                <a:srgbClr val="008000"/>
              </a:solidFill>
              <a:ln>
                <a:noFill/>
              </a:ln>
              <a:effectLst/>
            </c:spPr>
            <c:extLst>
              <c:ext xmlns:c16="http://schemas.microsoft.com/office/drawing/2014/chart" uri="{C3380CC4-5D6E-409C-BE32-E72D297353CC}">
                <c16:uniqueId val="{00000071-F567-460B-BBE9-E5221FF425BA}"/>
              </c:ext>
            </c:extLst>
          </c:dPt>
          <c:dPt>
            <c:idx val="57"/>
            <c:invertIfNegative val="0"/>
            <c:bubble3D val="0"/>
            <c:spPr>
              <a:solidFill>
                <a:srgbClr val="008000"/>
              </a:solidFill>
              <a:ln>
                <a:noFill/>
              </a:ln>
              <a:effectLst/>
            </c:spPr>
            <c:extLst>
              <c:ext xmlns:c16="http://schemas.microsoft.com/office/drawing/2014/chart" uri="{C3380CC4-5D6E-409C-BE32-E72D297353CC}">
                <c16:uniqueId val="{00000073-F567-460B-BBE9-E5221FF425BA}"/>
              </c:ext>
            </c:extLst>
          </c:dPt>
          <c:dPt>
            <c:idx val="58"/>
            <c:invertIfNegative val="0"/>
            <c:bubble3D val="0"/>
            <c:spPr>
              <a:solidFill>
                <a:srgbClr val="008000"/>
              </a:solidFill>
              <a:ln>
                <a:noFill/>
              </a:ln>
              <a:effectLst/>
            </c:spPr>
            <c:extLst>
              <c:ext xmlns:c16="http://schemas.microsoft.com/office/drawing/2014/chart" uri="{C3380CC4-5D6E-409C-BE32-E72D297353CC}">
                <c16:uniqueId val="{00000075-F567-460B-BBE9-E5221FF425BA}"/>
              </c:ext>
            </c:extLst>
          </c:dPt>
          <c:dPt>
            <c:idx val="59"/>
            <c:invertIfNegative val="0"/>
            <c:bubble3D val="0"/>
            <c:spPr>
              <a:solidFill>
                <a:srgbClr val="008000"/>
              </a:solidFill>
              <a:ln>
                <a:noFill/>
              </a:ln>
              <a:effectLst/>
            </c:spPr>
            <c:extLst>
              <c:ext xmlns:c16="http://schemas.microsoft.com/office/drawing/2014/chart" uri="{C3380CC4-5D6E-409C-BE32-E72D297353CC}">
                <c16:uniqueId val="{00000077-F567-460B-BBE9-E5221FF425BA}"/>
              </c:ext>
            </c:extLst>
          </c:dPt>
          <c:dPt>
            <c:idx val="60"/>
            <c:invertIfNegative val="0"/>
            <c:bubble3D val="0"/>
            <c:spPr>
              <a:solidFill>
                <a:srgbClr val="008000"/>
              </a:solidFill>
              <a:ln>
                <a:noFill/>
              </a:ln>
              <a:effectLst/>
            </c:spPr>
            <c:extLst>
              <c:ext xmlns:c16="http://schemas.microsoft.com/office/drawing/2014/chart" uri="{C3380CC4-5D6E-409C-BE32-E72D297353CC}">
                <c16:uniqueId val="{00000079-F567-460B-BBE9-E5221FF425BA}"/>
              </c:ext>
            </c:extLst>
          </c:dPt>
          <c:dPt>
            <c:idx val="61"/>
            <c:invertIfNegative val="0"/>
            <c:bubble3D val="0"/>
            <c:spPr>
              <a:solidFill>
                <a:srgbClr val="008000"/>
              </a:solidFill>
              <a:ln>
                <a:noFill/>
              </a:ln>
              <a:effectLst/>
            </c:spPr>
            <c:extLst>
              <c:ext xmlns:c16="http://schemas.microsoft.com/office/drawing/2014/chart" uri="{C3380CC4-5D6E-409C-BE32-E72D297353CC}">
                <c16:uniqueId val="{0000007B-F567-460B-BBE9-E5221FF425BA}"/>
              </c:ext>
            </c:extLst>
          </c:dPt>
          <c:dPt>
            <c:idx val="62"/>
            <c:invertIfNegative val="0"/>
            <c:bubble3D val="0"/>
            <c:spPr>
              <a:solidFill>
                <a:srgbClr val="008000"/>
              </a:solidFill>
              <a:ln>
                <a:noFill/>
              </a:ln>
              <a:effectLst/>
            </c:spPr>
            <c:extLst>
              <c:ext xmlns:c16="http://schemas.microsoft.com/office/drawing/2014/chart" uri="{C3380CC4-5D6E-409C-BE32-E72D297353CC}">
                <c16:uniqueId val="{0000007D-F567-460B-BBE9-E5221FF425BA}"/>
              </c:ext>
            </c:extLst>
          </c:dPt>
          <c:dPt>
            <c:idx val="63"/>
            <c:invertIfNegative val="0"/>
            <c:bubble3D val="0"/>
            <c:spPr>
              <a:solidFill>
                <a:srgbClr val="008000"/>
              </a:solidFill>
              <a:ln>
                <a:noFill/>
              </a:ln>
              <a:effectLst/>
            </c:spPr>
            <c:extLst>
              <c:ext xmlns:c16="http://schemas.microsoft.com/office/drawing/2014/chart" uri="{C3380CC4-5D6E-409C-BE32-E72D297353CC}">
                <c16:uniqueId val="{0000007F-F567-460B-BBE9-E5221FF425BA}"/>
              </c:ext>
            </c:extLst>
          </c:dPt>
          <c:dPt>
            <c:idx val="64"/>
            <c:invertIfNegative val="0"/>
            <c:bubble3D val="0"/>
            <c:spPr>
              <a:solidFill>
                <a:srgbClr val="008000"/>
              </a:solidFill>
              <a:ln>
                <a:noFill/>
              </a:ln>
              <a:effectLst/>
            </c:spPr>
            <c:extLst>
              <c:ext xmlns:c16="http://schemas.microsoft.com/office/drawing/2014/chart" uri="{C3380CC4-5D6E-409C-BE32-E72D297353CC}">
                <c16:uniqueId val="{00000061-BBC8-4AE2-B843-7D43000A1FA1}"/>
              </c:ext>
            </c:extLst>
          </c:dPt>
          <c:dPt>
            <c:idx val="65"/>
            <c:invertIfNegative val="0"/>
            <c:bubble3D val="0"/>
            <c:spPr>
              <a:solidFill>
                <a:srgbClr val="008000"/>
              </a:solidFill>
              <a:ln>
                <a:noFill/>
              </a:ln>
              <a:effectLst/>
            </c:spPr>
            <c:extLst>
              <c:ext xmlns:c16="http://schemas.microsoft.com/office/drawing/2014/chart" uri="{C3380CC4-5D6E-409C-BE32-E72D297353CC}">
                <c16:uniqueId val="{00000063-BBC8-4AE2-B843-7D43000A1FA1}"/>
              </c:ext>
            </c:extLst>
          </c:dPt>
          <c:dPt>
            <c:idx val="66"/>
            <c:invertIfNegative val="0"/>
            <c:bubble3D val="0"/>
            <c:spPr>
              <a:solidFill>
                <a:srgbClr val="008000"/>
              </a:solidFill>
              <a:ln>
                <a:noFill/>
              </a:ln>
              <a:effectLst/>
            </c:spPr>
            <c:extLst>
              <c:ext xmlns:c16="http://schemas.microsoft.com/office/drawing/2014/chart" uri="{C3380CC4-5D6E-409C-BE32-E72D297353CC}">
                <c16:uniqueId val="{00000065-BBC8-4AE2-B843-7D43000A1FA1}"/>
              </c:ext>
            </c:extLst>
          </c:dPt>
          <c:dPt>
            <c:idx val="67"/>
            <c:invertIfNegative val="0"/>
            <c:bubble3D val="0"/>
            <c:spPr>
              <a:solidFill>
                <a:srgbClr val="008000"/>
              </a:solidFill>
              <a:ln>
                <a:noFill/>
              </a:ln>
              <a:effectLst/>
            </c:spPr>
            <c:extLst>
              <c:ext xmlns:c16="http://schemas.microsoft.com/office/drawing/2014/chart" uri="{C3380CC4-5D6E-409C-BE32-E72D297353CC}">
                <c16:uniqueId val="{00000067-BBC8-4AE2-B843-7D43000A1FA1}"/>
              </c:ext>
            </c:extLst>
          </c:dPt>
          <c:dPt>
            <c:idx val="68"/>
            <c:invertIfNegative val="0"/>
            <c:bubble3D val="0"/>
            <c:spPr>
              <a:solidFill>
                <a:srgbClr val="008000"/>
              </a:solidFill>
              <a:ln>
                <a:noFill/>
              </a:ln>
              <a:effectLst/>
            </c:spPr>
            <c:extLst>
              <c:ext xmlns:c16="http://schemas.microsoft.com/office/drawing/2014/chart" uri="{C3380CC4-5D6E-409C-BE32-E72D297353CC}">
                <c16:uniqueId val="{000000DC-A3E9-4B8A-81CD-4645D3E01CD3}"/>
              </c:ext>
            </c:extLst>
          </c:dPt>
          <c:dLbls>
            <c:dLbl>
              <c:idx val="42"/>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5-F567-460B-BBE9-E5221FF425BA}"/>
                </c:ext>
              </c:extLst>
            </c:dLbl>
            <c:dLbl>
              <c:idx val="43"/>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7-F567-460B-BBE9-E5221FF425BA}"/>
                </c:ext>
              </c:extLst>
            </c:dLbl>
            <c:dLbl>
              <c:idx val="44"/>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9-F567-460B-BBE9-E5221FF425BA}"/>
                </c:ext>
              </c:extLst>
            </c:dLbl>
            <c:dLbl>
              <c:idx val="45"/>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B-F567-460B-BBE9-E5221FF425BA}"/>
                </c:ext>
              </c:extLst>
            </c:dLbl>
            <c:dLbl>
              <c:idx val="46"/>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D-F567-460B-BBE9-E5221FF425BA}"/>
                </c:ext>
              </c:extLst>
            </c:dLbl>
            <c:dLbl>
              <c:idx val="47"/>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5F-F567-460B-BBE9-E5221FF425BA}"/>
                </c:ext>
              </c:extLst>
            </c:dLbl>
            <c:dLbl>
              <c:idx val="48"/>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1-F567-460B-BBE9-E5221FF425BA}"/>
                </c:ext>
              </c:extLst>
            </c:dLbl>
            <c:dLbl>
              <c:idx val="49"/>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3-F567-460B-BBE9-E5221FF425BA}"/>
                </c:ext>
              </c:extLst>
            </c:dLbl>
            <c:dLbl>
              <c:idx val="50"/>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5-F567-460B-BBE9-E5221FF425BA}"/>
                </c:ext>
              </c:extLst>
            </c:dLbl>
            <c:dLbl>
              <c:idx val="51"/>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47-BBC8-4AE2-B843-7D43000A1FA1}"/>
                </c:ext>
              </c:extLst>
            </c:dLbl>
            <c:dLbl>
              <c:idx val="52"/>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9-F567-460B-BBE9-E5221FF425BA}"/>
                </c:ext>
              </c:extLst>
            </c:dLbl>
            <c:dLbl>
              <c:idx val="53"/>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B-F567-460B-BBE9-E5221FF425BA}"/>
                </c:ext>
              </c:extLst>
            </c:dLbl>
            <c:dLbl>
              <c:idx val="54"/>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6D-F567-460B-BBE9-E5221FF425BA}"/>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Granted Patents'!$AE$80:$CU$81</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Patents'!$AE$82:$CU$82</c:f>
              <c:numCache>
                <c:formatCode>#,##0.0</c:formatCode>
                <c:ptCount val="69"/>
                <c:pt idx="0">
                  <c:v>30.702000000000002</c:v>
                </c:pt>
                <c:pt idx="1">
                  <c:v>32.582000000000001</c:v>
                </c:pt>
                <c:pt idx="2">
                  <c:v>32.634</c:v>
                </c:pt>
                <c:pt idx="3">
                  <c:v>33.607999999999997</c:v>
                </c:pt>
                <c:pt idx="4">
                  <c:v>33.042000000000002</c:v>
                </c:pt>
                <c:pt idx="5">
                  <c:v>36.56</c:v>
                </c:pt>
                <c:pt idx="6">
                  <c:v>48.726999999999997</c:v>
                </c:pt>
                <c:pt idx="7">
                  <c:v>50.68</c:v>
                </c:pt>
                <c:pt idx="8">
                  <c:v>57.905999999999999</c:v>
                </c:pt>
                <c:pt idx="9">
                  <c:v>60.57</c:v>
                </c:pt>
                <c:pt idx="10">
                  <c:v>58.655999999999999</c:v>
                </c:pt>
                <c:pt idx="11">
                  <c:v>47.713999999999999</c:v>
                </c:pt>
                <c:pt idx="12">
                  <c:v>36.625999999999998</c:v>
                </c:pt>
                <c:pt idx="14">
                  <c:v>187.23699999999999</c:v>
                </c:pt>
                <c:pt idx="15">
                  <c:v>197.59399999999999</c:v>
                </c:pt>
                <c:pt idx="16">
                  <c:v>224.917</c:v>
                </c:pt>
                <c:pt idx="17">
                  <c:v>225.571</c:v>
                </c:pt>
                <c:pt idx="18">
                  <c:v>177.75</c:v>
                </c:pt>
                <c:pt idx="19">
                  <c:v>146.749</c:v>
                </c:pt>
                <c:pt idx="20">
                  <c:v>160.643</c:v>
                </c:pt>
                <c:pt idx="21">
                  <c:v>156.84399999999999</c:v>
                </c:pt>
                <c:pt idx="22">
                  <c:v>152.44</c:v>
                </c:pt>
                <c:pt idx="23">
                  <c:v>140.86500000000001</c:v>
                </c:pt>
                <c:pt idx="24">
                  <c:v>140.32900000000001</c:v>
                </c:pt>
                <c:pt idx="25">
                  <c:v>141.85300000000001</c:v>
                </c:pt>
                <c:pt idx="26">
                  <c:v>155.11699999999999</c:v>
                </c:pt>
                <c:pt idx="28">
                  <c:v>51.404000000000003</c:v>
                </c:pt>
                <c:pt idx="29">
                  <c:v>72.257999999999996</c:v>
                </c:pt>
                <c:pt idx="30">
                  <c:v>84.061000000000007</c:v>
                </c:pt>
                <c:pt idx="31">
                  <c:v>95.667000000000002</c:v>
                </c:pt>
                <c:pt idx="32">
                  <c:v>97.293999999999997</c:v>
                </c:pt>
                <c:pt idx="33">
                  <c:v>76.317999999999998</c:v>
                </c:pt>
                <c:pt idx="34">
                  <c:v>82.4</c:v>
                </c:pt>
                <c:pt idx="35">
                  <c:v>90.846999999999994</c:v>
                </c:pt>
                <c:pt idx="36">
                  <c:v>89.227000000000004</c:v>
                </c:pt>
                <c:pt idx="37">
                  <c:v>94.852000000000004</c:v>
                </c:pt>
                <c:pt idx="38">
                  <c:v>103.881</c:v>
                </c:pt>
                <c:pt idx="39">
                  <c:v>110.351</c:v>
                </c:pt>
                <c:pt idx="40">
                  <c:v>99.201999999999998</c:v>
                </c:pt>
                <c:pt idx="42">
                  <c:v>79.766999999999996</c:v>
                </c:pt>
                <c:pt idx="43">
                  <c:v>112.34699999999999</c:v>
                </c:pt>
                <c:pt idx="44">
                  <c:v>143.84700000000001</c:v>
                </c:pt>
                <c:pt idx="45">
                  <c:v>143.535</c:v>
                </c:pt>
                <c:pt idx="46">
                  <c:v>162.68</c:v>
                </c:pt>
                <c:pt idx="47">
                  <c:v>263.43599999999998</c:v>
                </c:pt>
                <c:pt idx="48">
                  <c:v>302.13600000000002</c:v>
                </c:pt>
                <c:pt idx="49">
                  <c:v>326.97000000000003</c:v>
                </c:pt>
                <c:pt idx="50">
                  <c:v>345.959</c:v>
                </c:pt>
                <c:pt idx="51">
                  <c:v>360.91899999999998</c:v>
                </c:pt>
                <c:pt idx="52">
                  <c:v>440.69099999999997</c:v>
                </c:pt>
                <c:pt idx="53">
                  <c:v>585.91</c:v>
                </c:pt>
                <c:pt idx="54">
                  <c:v>695.59100000000001</c:v>
                </c:pt>
                <c:pt idx="56">
                  <c:v>107.792</c:v>
                </c:pt>
                <c:pt idx="57">
                  <c:v>108.626</c:v>
                </c:pt>
                <c:pt idx="58">
                  <c:v>121.026</c:v>
                </c:pt>
                <c:pt idx="59">
                  <c:v>133.59299999999999</c:v>
                </c:pt>
                <c:pt idx="60">
                  <c:v>144.62100000000001</c:v>
                </c:pt>
                <c:pt idx="61">
                  <c:v>140.96899999999999</c:v>
                </c:pt>
                <c:pt idx="62">
                  <c:v>143.72300000000001</c:v>
                </c:pt>
                <c:pt idx="63">
                  <c:v>150.94900000000001</c:v>
                </c:pt>
                <c:pt idx="64">
                  <c:v>144.41300000000001</c:v>
                </c:pt>
                <c:pt idx="65">
                  <c:v>167.11500000000001</c:v>
                </c:pt>
                <c:pt idx="66">
                  <c:v>164.55500000000001</c:v>
                </c:pt>
                <c:pt idx="67">
                  <c:v>149.69999999999999</c:v>
                </c:pt>
                <c:pt idx="68">
                  <c:v>141.93799999999999</c:v>
                </c:pt>
              </c:numCache>
            </c:numRef>
          </c:val>
          <c:extLst>
            <c:ext xmlns:c16="http://schemas.microsoft.com/office/drawing/2014/chart" uri="{C3380CC4-5D6E-409C-BE32-E72D297353CC}">
              <c16:uniqueId val="{00000080-F567-460B-BBE9-E5221FF425BA}"/>
            </c:ext>
          </c:extLst>
        </c:ser>
        <c:ser>
          <c:idx val="1"/>
          <c:order val="1"/>
          <c:tx>
            <c:strRef>
              <c:f>'Ch4. Granted Patents'!$B$46</c:f>
              <c:strCache>
                <c:ptCount val="1"/>
                <c:pt idx="0">
                  <c:v>Foreign</c:v>
                </c:pt>
              </c:strCache>
            </c:strRef>
          </c:tx>
          <c:spPr>
            <a:solidFill>
              <a:schemeClr val="accent2"/>
            </a:solidFill>
            <a:ln>
              <a:noFill/>
            </a:ln>
            <a:effectLst/>
          </c:spPr>
          <c:invertIfNegative val="0"/>
          <c:dPt>
            <c:idx val="0"/>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2-F567-460B-BBE9-E5221FF425BA}"/>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4-F567-460B-BBE9-E5221FF425BA}"/>
              </c:ext>
            </c:extLst>
          </c:dPt>
          <c:dPt>
            <c:idx val="2"/>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6-F567-460B-BBE9-E5221FF425BA}"/>
              </c:ext>
            </c:extLst>
          </c:dPt>
          <c:dPt>
            <c:idx val="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8-F567-460B-BBE9-E5221FF425BA}"/>
              </c:ext>
            </c:extLst>
          </c:dPt>
          <c:dPt>
            <c:idx val="4"/>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A-F567-460B-BBE9-E5221FF425BA}"/>
              </c:ext>
            </c:extLst>
          </c:dPt>
          <c:dPt>
            <c:idx val="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C-F567-460B-BBE9-E5221FF425BA}"/>
              </c:ext>
            </c:extLst>
          </c:dPt>
          <c:dPt>
            <c:idx val="6"/>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E-F567-460B-BBE9-E5221FF425BA}"/>
              </c:ext>
            </c:extLst>
          </c:dPt>
          <c:dPt>
            <c:idx val="7"/>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0-F567-460B-BBE9-E5221FF425BA}"/>
              </c:ext>
            </c:extLst>
          </c:dPt>
          <c:dPt>
            <c:idx val="8"/>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2-F567-460B-BBE9-E5221FF425BA}"/>
              </c:ext>
            </c:extLst>
          </c:dPt>
          <c:dPt>
            <c:idx val="9"/>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4-F567-460B-BBE9-E5221FF425BA}"/>
              </c:ext>
            </c:extLst>
          </c:dPt>
          <c:dPt>
            <c:idx val="10"/>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6-F567-460B-BBE9-E5221FF425BA}"/>
              </c:ext>
            </c:extLst>
          </c:dPt>
          <c:dPt>
            <c:idx val="1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8-F567-460B-BBE9-E5221FF425BA}"/>
              </c:ext>
            </c:extLst>
          </c:dPt>
          <c:dPt>
            <c:idx val="12"/>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A-F567-460B-BBE9-E5221FF425BA}"/>
              </c:ext>
            </c:extLst>
          </c:dPt>
          <c:dPt>
            <c:idx val="14"/>
            <c:invertIfNegative val="0"/>
            <c:bubble3D val="0"/>
            <c:spPr>
              <a:solidFill>
                <a:srgbClr val="FCB7A2"/>
              </a:solidFill>
              <a:ln>
                <a:noFill/>
              </a:ln>
              <a:effectLst/>
            </c:spPr>
            <c:extLst>
              <c:ext xmlns:c16="http://schemas.microsoft.com/office/drawing/2014/chart" uri="{C3380CC4-5D6E-409C-BE32-E72D297353CC}">
                <c16:uniqueId val="{0000009E-F567-460B-BBE9-E5221FF425BA}"/>
              </c:ext>
            </c:extLst>
          </c:dPt>
          <c:dPt>
            <c:idx val="15"/>
            <c:invertIfNegative val="0"/>
            <c:bubble3D val="0"/>
            <c:spPr>
              <a:solidFill>
                <a:srgbClr val="FCB7A2"/>
              </a:solidFill>
              <a:ln>
                <a:noFill/>
              </a:ln>
              <a:effectLst/>
            </c:spPr>
            <c:extLst>
              <c:ext xmlns:c16="http://schemas.microsoft.com/office/drawing/2014/chart" uri="{C3380CC4-5D6E-409C-BE32-E72D297353CC}">
                <c16:uniqueId val="{000000A0-F567-460B-BBE9-E5221FF425BA}"/>
              </c:ext>
            </c:extLst>
          </c:dPt>
          <c:dPt>
            <c:idx val="16"/>
            <c:invertIfNegative val="0"/>
            <c:bubble3D val="0"/>
            <c:spPr>
              <a:solidFill>
                <a:srgbClr val="FCB7A2"/>
              </a:solidFill>
              <a:ln>
                <a:noFill/>
              </a:ln>
              <a:effectLst/>
            </c:spPr>
            <c:extLst>
              <c:ext xmlns:c16="http://schemas.microsoft.com/office/drawing/2014/chart" uri="{C3380CC4-5D6E-409C-BE32-E72D297353CC}">
                <c16:uniqueId val="{000000A2-F567-460B-BBE9-E5221FF425BA}"/>
              </c:ext>
            </c:extLst>
          </c:dPt>
          <c:dPt>
            <c:idx val="17"/>
            <c:invertIfNegative val="0"/>
            <c:bubble3D val="0"/>
            <c:spPr>
              <a:solidFill>
                <a:srgbClr val="FCB7A2"/>
              </a:solidFill>
              <a:ln>
                <a:noFill/>
              </a:ln>
              <a:effectLst/>
            </c:spPr>
            <c:extLst>
              <c:ext xmlns:c16="http://schemas.microsoft.com/office/drawing/2014/chart" uri="{C3380CC4-5D6E-409C-BE32-E72D297353CC}">
                <c16:uniqueId val="{000000A4-F567-460B-BBE9-E5221FF425BA}"/>
              </c:ext>
            </c:extLst>
          </c:dPt>
          <c:dPt>
            <c:idx val="18"/>
            <c:invertIfNegative val="0"/>
            <c:bubble3D val="0"/>
            <c:spPr>
              <a:solidFill>
                <a:srgbClr val="FCB7A2"/>
              </a:solidFill>
              <a:ln>
                <a:noFill/>
              </a:ln>
              <a:effectLst/>
            </c:spPr>
            <c:extLst>
              <c:ext xmlns:c16="http://schemas.microsoft.com/office/drawing/2014/chart" uri="{C3380CC4-5D6E-409C-BE32-E72D297353CC}">
                <c16:uniqueId val="{000000A6-F567-460B-BBE9-E5221FF425BA}"/>
              </c:ext>
            </c:extLst>
          </c:dPt>
          <c:dPt>
            <c:idx val="19"/>
            <c:invertIfNegative val="0"/>
            <c:bubble3D val="0"/>
            <c:spPr>
              <a:solidFill>
                <a:srgbClr val="FCB7A2"/>
              </a:solidFill>
              <a:ln>
                <a:noFill/>
              </a:ln>
              <a:effectLst/>
            </c:spPr>
            <c:extLst>
              <c:ext xmlns:c16="http://schemas.microsoft.com/office/drawing/2014/chart" uri="{C3380CC4-5D6E-409C-BE32-E72D297353CC}">
                <c16:uniqueId val="{000000A8-F567-460B-BBE9-E5221FF425BA}"/>
              </c:ext>
            </c:extLst>
          </c:dPt>
          <c:dPt>
            <c:idx val="20"/>
            <c:invertIfNegative val="0"/>
            <c:bubble3D val="0"/>
            <c:spPr>
              <a:solidFill>
                <a:srgbClr val="FCB7A2"/>
              </a:solidFill>
              <a:ln>
                <a:noFill/>
              </a:ln>
              <a:effectLst/>
            </c:spPr>
            <c:extLst>
              <c:ext xmlns:c16="http://schemas.microsoft.com/office/drawing/2014/chart" uri="{C3380CC4-5D6E-409C-BE32-E72D297353CC}">
                <c16:uniqueId val="{000000AA-F567-460B-BBE9-E5221FF425BA}"/>
              </c:ext>
            </c:extLst>
          </c:dPt>
          <c:dPt>
            <c:idx val="21"/>
            <c:invertIfNegative val="0"/>
            <c:bubble3D val="0"/>
            <c:spPr>
              <a:solidFill>
                <a:srgbClr val="FCB7A2"/>
              </a:solidFill>
              <a:ln>
                <a:noFill/>
              </a:ln>
              <a:effectLst/>
            </c:spPr>
            <c:extLst>
              <c:ext xmlns:c16="http://schemas.microsoft.com/office/drawing/2014/chart" uri="{C3380CC4-5D6E-409C-BE32-E72D297353CC}">
                <c16:uniqueId val="{000000AC-F567-460B-BBE9-E5221FF425BA}"/>
              </c:ext>
            </c:extLst>
          </c:dPt>
          <c:dPt>
            <c:idx val="22"/>
            <c:invertIfNegative val="0"/>
            <c:bubble3D val="0"/>
            <c:spPr>
              <a:solidFill>
                <a:srgbClr val="FCB7A2"/>
              </a:solidFill>
              <a:ln>
                <a:noFill/>
              </a:ln>
              <a:effectLst/>
            </c:spPr>
            <c:extLst>
              <c:ext xmlns:c16="http://schemas.microsoft.com/office/drawing/2014/chart" uri="{C3380CC4-5D6E-409C-BE32-E72D297353CC}">
                <c16:uniqueId val="{000000AE-F567-460B-BBE9-E5221FF425BA}"/>
              </c:ext>
            </c:extLst>
          </c:dPt>
          <c:dPt>
            <c:idx val="23"/>
            <c:invertIfNegative val="0"/>
            <c:bubble3D val="0"/>
            <c:spPr>
              <a:solidFill>
                <a:srgbClr val="FCB7A2"/>
              </a:solidFill>
              <a:ln>
                <a:noFill/>
              </a:ln>
              <a:effectLst/>
            </c:spPr>
            <c:extLst>
              <c:ext xmlns:c16="http://schemas.microsoft.com/office/drawing/2014/chart" uri="{C3380CC4-5D6E-409C-BE32-E72D297353CC}">
                <c16:uniqueId val="{000000B0-F567-460B-BBE9-E5221FF425BA}"/>
              </c:ext>
            </c:extLst>
          </c:dPt>
          <c:dPt>
            <c:idx val="24"/>
            <c:invertIfNegative val="0"/>
            <c:bubble3D val="0"/>
            <c:spPr>
              <a:solidFill>
                <a:srgbClr val="FCB7A2"/>
              </a:solidFill>
              <a:ln>
                <a:noFill/>
              </a:ln>
              <a:effectLst/>
            </c:spPr>
            <c:extLst>
              <c:ext xmlns:c16="http://schemas.microsoft.com/office/drawing/2014/chart" uri="{C3380CC4-5D6E-409C-BE32-E72D297353CC}">
                <c16:uniqueId val="{000000B2-F567-460B-BBE9-E5221FF425BA}"/>
              </c:ext>
            </c:extLst>
          </c:dPt>
          <c:dPt>
            <c:idx val="25"/>
            <c:invertIfNegative val="0"/>
            <c:bubble3D val="0"/>
            <c:spPr>
              <a:solidFill>
                <a:srgbClr val="FCB7A2"/>
              </a:solidFill>
              <a:ln>
                <a:noFill/>
              </a:ln>
              <a:effectLst/>
            </c:spPr>
            <c:extLst>
              <c:ext xmlns:c16="http://schemas.microsoft.com/office/drawing/2014/chart" uri="{C3380CC4-5D6E-409C-BE32-E72D297353CC}">
                <c16:uniqueId val="{0000009B-BBC8-4AE2-B843-7D43000A1FA1}"/>
              </c:ext>
            </c:extLst>
          </c:dPt>
          <c:dPt>
            <c:idx val="26"/>
            <c:invertIfNegative val="0"/>
            <c:bubble3D val="0"/>
            <c:spPr>
              <a:solidFill>
                <a:srgbClr val="FCB7A2"/>
              </a:solidFill>
              <a:ln>
                <a:noFill/>
              </a:ln>
              <a:effectLst/>
            </c:spPr>
            <c:extLst>
              <c:ext xmlns:c16="http://schemas.microsoft.com/office/drawing/2014/chart" uri="{C3380CC4-5D6E-409C-BE32-E72D297353CC}">
                <c16:uniqueId val="{000000B6-F567-460B-BBE9-E5221FF425BA}"/>
              </c:ext>
            </c:extLst>
          </c:dPt>
          <c:dPt>
            <c:idx val="28"/>
            <c:invertIfNegative val="0"/>
            <c:bubble3D val="0"/>
            <c:spPr>
              <a:solidFill>
                <a:srgbClr val="CC99FF"/>
              </a:solidFill>
              <a:ln>
                <a:noFill/>
              </a:ln>
              <a:effectLst/>
            </c:spPr>
            <c:extLst>
              <c:ext xmlns:c16="http://schemas.microsoft.com/office/drawing/2014/chart" uri="{C3380CC4-5D6E-409C-BE32-E72D297353CC}">
                <c16:uniqueId val="{000000BA-F567-460B-BBE9-E5221FF425BA}"/>
              </c:ext>
            </c:extLst>
          </c:dPt>
          <c:dPt>
            <c:idx val="29"/>
            <c:invertIfNegative val="0"/>
            <c:bubble3D val="0"/>
            <c:spPr>
              <a:solidFill>
                <a:srgbClr val="CC99FF"/>
              </a:solidFill>
              <a:ln>
                <a:noFill/>
              </a:ln>
              <a:effectLst/>
            </c:spPr>
            <c:extLst>
              <c:ext xmlns:c16="http://schemas.microsoft.com/office/drawing/2014/chart" uri="{C3380CC4-5D6E-409C-BE32-E72D297353CC}">
                <c16:uniqueId val="{000000BC-F567-460B-BBE9-E5221FF425BA}"/>
              </c:ext>
            </c:extLst>
          </c:dPt>
          <c:dPt>
            <c:idx val="30"/>
            <c:invertIfNegative val="0"/>
            <c:bubble3D val="0"/>
            <c:spPr>
              <a:solidFill>
                <a:srgbClr val="CC99FF"/>
              </a:solidFill>
              <a:ln>
                <a:noFill/>
              </a:ln>
              <a:effectLst/>
            </c:spPr>
            <c:extLst>
              <c:ext xmlns:c16="http://schemas.microsoft.com/office/drawing/2014/chart" uri="{C3380CC4-5D6E-409C-BE32-E72D297353CC}">
                <c16:uniqueId val="{000000BE-F567-460B-BBE9-E5221FF425BA}"/>
              </c:ext>
            </c:extLst>
          </c:dPt>
          <c:dPt>
            <c:idx val="31"/>
            <c:invertIfNegative val="0"/>
            <c:bubble3D val="0"/>
            <c:spPr>
              <a:solidFill>
                <a:srgbClr val="CC99FF"/>
              </a:solidFill>
              <a:ln>
                <a:noFill/>
              </a:ln>
              <a:effectLst/>
            </c:spPr>
            <c:extLst>
              <c:ext xmlns:c16="http://schemas.microsoft.com/office/drawing/2014/chart" uri="{C3380CC4-5D6E-409C-BE32-E72D297353CC}">
                <c16:uniqueId val="{000000C0-F567-460B-BBE9-E5221FF425BA}"/>
              </c:ext>
            </c:extLst>
          </c:dPt>
          <c:dPt>
            <c:idx val="32"/>
            <c:invertIfNegative val="0"/>
            <c:bubble3D val="0"/>
            <c:spPr>
              <a:solidFill>
                <a:srgbClr val="CC99FF"/>
              </a:solidFill>
              <a:ln>
                <a:noFill/>
              </a:ln>
              <a:effectLst/>
            </c:spPr>
            <c:extLst>
              <c:ext xmlns:c16="http://schemas.microsoft.com/office/drawing/2014/chart" uri="{C3380CC4-5D6E-409C-BE32-E72D297353CC}">
                <c16:uniqueId val="{000000C2-F567-460B-BBE9-E5221FF425BA}"/>
              </c:ext>
            </c:extLst>
          </c:dPt>
          <c:dPt>
            <c:idx val="33"/>
            <c:invertIfNegative val="0"/>
            <c:bubble3D val="0"/>
            <c:spPr>
              <a:solidFill>
                <a:srgbClr val="CC99FF"/>
              </a:solidFill>
              <a:ln>
                <a:noFill/>
              </a:ln>
              <a:effectLst/>
            </c:spPr>
            <c:extLst>
              <c:ext xmlns:c16="http://schemas.microsoft.com/office/drawing/2014/chart" uri="{C3380CC4-5D6E-409C-BE32-E72D297353CC}">
                <c16:uniqueId val="{000000C4-F567-460B-BBE9-E5221FF425BA}"/>
              </c:ext>
            </c:extLst>
          </c:dPt>
          <c:dPt>
            <c:idx val="34"/>
            <c:invertIfNegative val="0"/>
            <c:bubble3D val="0"/>
            <c:spPr>
              <a:solidFill>
                <a:srgbClr val="CC99FF"/>
              </a:solidFill>
              <a:ln>
                <a:noFill/>
              </a:ln>
              <a:effectLst/>
            </c:spPr>
            <c:extLst>
              <c:ext xmlns:c16="http://schemas.microsoft.com/office/drawing/2014/chart" uri="{C3380CC4-5D6E-409C-BE32-E72D297353CC}">
                <c16:uniqueId val="{000000C6-F567-460B-BBE9-E5221FF425BA}"/>
              </c:ext>
            </c:extLst>
          </c:dPt>
          <c:dPt>
            <c:idx val="35"/>
            <c:invertIfNegative val="0"/>
            <c:bubble3D val="0"/>
            <c:spPr>
              <a:solidFill>
                <a:srgbClr val="CC99FF"/>
              </a:solidFill>
              <a:ln>
                <a:noFill/>
              </a:ln>
              <a:effectLst/>
            </c:spPr>
            <c:extLst>
              <c:ext xmlns:c16="http://schemas.microsoft.com/office/drawing/2014/chart" uri="{C3380CC4-5D6E-409C-BE32-E72D297353CC}">
                <c16:uniqueId val="{000000C8-F567-460B-BBE9-E5221FF425BA}"/>
              </c:ext>
            </c:extLst>
          </c:dPt>
          <c:dPt>
            <c:idx val="36"/>
            <c:invertIfNegative val="0"/>
            <c:bubble3D val="0"/>
            <c:spPr>
              <a:solidFill>
                <a:srgbClr val="CC99FF"/>
              </a:solidFill>
              <a:ln>
                <a:noFill/>
              </a:ln>
              <a:effectLst/>
            </c:spPr>
            <c:extLst>
              <c:ext xmlns:c16="http://schemas.microsoft.com/office/drawing/2014/chart" uri="{C3380CC4-5D6E-409C-BE32-E72D297353CC}">
                <c16:uniqueId val="{000000CA-F567-460B-BBE9-E5221FF425BA}"/>
              </c:ext>
            </c:extLst>
          </c:dPt>
          <c:dPt>
            <c:idx val="37"/>
            <c:invertIfNegative val="0"/>
            <c:bubble3D val="0"/>
            <c:spPr>
              <a:solidFill>
                <a:srgbClr val="CC99FF"/>
              </a:solidFill>
              <a:ln>
                <a:noFill/>
              </a:ln>
              <a:effectLst/>
            </c:spPr>
            <c:extLst>
              <c:ext xmlns:c16="http://schemas.microsoft.com/office/drawing/2014/chart" uri="{C3380CC4-5D6E-409C-BE32-E72D297353CC}">
                <c16:uniqueId val="{000000CC-F567-460B-BBE9-E5221FF425BA}"/>
              </c:ext>
            </c:extLst>
          </c:dPt>
          <c:dPt>
            <c:idx val="38"/>
            <c:invertIfNegative val="0"/>
            <c:bubble3D val="0"/>
            <c:spPr>
              <a:solidFill>
                <a:srgbClr val="CC99FF"/>
              </a:solidFill>
              <a:ln>
                <a:noFill/>
              </a:ln>
              <a:effectLst/>
            </c:spPr>
            <c:extLst>
              <c:ext xmlns:c16="http://schemas.microsoft.com/office/drawing/2014/chart" uri="{C3380CC4-5D6E-409C-BE32-E72D297353CC}">
                <c16:uniqueId val="{000000B3-BBC8-4AE2-B843-7D43000A1FA1}"/>
              </c:ext>
            </c:extLst>
          </c:dPt>
          <c:dPt>
            <c:idx val="39"/>
            <c:invertIfNegative val="0"/>
            <c:bubble3D val="0"/>
            <c:spPr>
              <a:solidFill>
                <a:srgbClr val="CC99FF"/>
              </a:solidFill>
              <a:ln>
                <a:noFill/>
              </a:ln>
              <a:effectLst/>
            </c:spPr>
            <c:extLst>
              <c:ext xmlns:c16="http://schemas.microsoft.com/office/drawing/2014/chart" uri="{C3380CC4-5D6E-409C-BE32-E72D297353CC}">
                <c16:uniqueId val="{000000D0-F567-460B-BBE9-E5221FF425BA}"/>
              </c:ext>
            </c:extLst>
          </c:dPt>
          <c:dPt>
            <c:idx val="40"/>
            <c:invertIfNegative val="0"/>
            <c:bubble3D val="0"/>
            <c:spPr>
              <a:solidFill>
                <a:srgbClr val="CC99FF"/>
              </a:solidFill>
              <a:ln>
                <a:noFill/>
              </a:ln>
              <a:effectLst/>
            </c:spPr>
            <c:extLst>
              <c:ext xmlns:c16="http://schemas.microsoft.com/office/drawing/2014/chart" uri="{C3380CC4-5D6E-409C-BE32-E72D297353CC}">
                <c16:uniqueId val="{000000D2-F567-460B-BBE9-E5221FF425BA}"/>
              </c:ext>
            </c:extLst>
          </c:dPt>
          <c:dPt>
            <c:idx val="4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D6-F567-460B-BBE9-E5221FF425BA}"/>
              </c:ext>
            </c:extLst>
          </c:dPt>
          <c:dPt>
            <c:idx val="4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D8-F567-460B-BBE9-E5221FF425BA}"/>
              </c:ext>
            </c:extLst>
          </c:dPt>
          <c:dPt>
            <c:idx val="4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DA-F567-460B-BBE9-E5221FF425BA}"/>
              </c:ext>
            </c:extLst>
          </c:dPt>
          <c:dPt>
            <c:idx val="45"/>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DC-F567-460B-BBE9-E5221FF425BA}"/>
              </c:ext>
            </c:extLst>
          </c:dPt>
          <c:dPt>
            <c:idx val="46"/>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DE-F567-460B-BBE9-E5221FF425BA}"/>
              </c:ext>
            </c:extLst>
          </c:dPt>
          <c:dPt>
            <c:idx val="4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0-F567-460B-BBE9-E5221FF425BA}"/>
              </c:ext>
            </c:extLst>
          </c:dPt>
          <c:dPt>
            <c:idx val="4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2-F567-460B-BBE9-E5221FF425BA}"/>
              </c:ext>
            </c:extLst>
          </c:dPt>
          <c:dPt>
            <c:idx val="49"/>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4-F567-460B-BBE9-E5221FF425BA}"/>
              </c:ext>
            </c:extLst>
          </c:dPt>
          <c:dPt>
            <c:idx val="5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6-F567-460B-BBE9-E5221FF425BA}"/>
              </c:ext>
            </c:extLst>
          </c:dPt>
          <c:dPt>
            <c:idx val="5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CB-BBC8-4AE2-B843-7D43000A1FA1}"/>
              </c:ext>
            </c:extLst>
          </c:dPt>
          <c:dPt>
            <c:idx val="5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A-F567-460B-BBE9-E5221FF425BA}"/>
              </c:ext>
            </c:extLst>
          </c:dPt>
          <c:dPt>
            <c:idx val="5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C-F567-460B-BBE9-E5221FF425BA}"/>
              </c:ext>
            </c:extLst>
          </c:dPt>
          <c:dPt>
            <c:idx val="54"/>
            <c:invertIfNegative val="0"/>
            <c:bubble3D val="0"/>
            <c:spPr>
              <a:solidFill>
                <a:schemeClr val="accent4">
                  <a:lumMod val="20000"/>
                  <a:lumOff val="80000"/>
                </a:schemeClr>
              </a:solidFill>
              <a:ln>
                <a:noFill/>
              </a:ln>
              <a:effectLst/>
            </c:spPr>
            <c:extLst>
              <c:ext xmlns:c16="http://schemas.microsoft.com/office/drawing/2014/chart" uri="{C3380CC4-5D6E-409C-BE32-E72D297353CC}">
                <c16:uniqueId val="{000000ED-71D4-4066-82E4-E7355AA0E1C6}"/>
              </c:ext>
            </c:extLst>
          </c:dPt>
          <c:dPt>
            <c:idx val="55"/>
            <c:invertIfNegative val="0"/>
            <c:bubble3D val="0"/>
            <c:spPr>
              <a:solidFill>
                <a:schemeClr val="accent4">
                  <a:lumMod val="20000"/>
                  <a:lumOff val="80000"/>
                </a:schemeClr>
              </a:solidFill>
              <a:ln>
                <a:noFill/>
              </a:ln>
              <a:effectLst/>
            </c:spPr>
            <c:extLst>
              <c:ext xmlns:c16="http://schemas.microsoft.com/office/drawing/2014/chart" uri="{C3380CC4-5D6E-409C-BE32-E72D297353CC}">
                <c16:uniqueId val="{000000F0-F567-460B-BBE9-E5221FF425BA}"/>
              </c:ext>
            </c:extLst>
          </c:dPt>
          <c:dPt>
            <c:idx val="5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2-F567-460B-BBE9-E5221FF425BA}"/>
              </c:ext>
            </c:extLst>
          </c:dPt>
          <c:dPt>
            <c:idx val="5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4-F567-460B-BBE9-E5221FF425BA}"/>
              </c:ext>
            </c:extLst>
          </c:dPt>
          <c:dPt>
            <c:idx val="5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6-F567-460B-BBE9-E5221FF425BA}"/>
              </c:ext>
            </c:extLst>
          </c:dPt>
          <c:dPt>
            <c:idx val="59"/>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8-F567-460B-BBE9-E5221FF425BA}"/>
              </c:ext>
            </c:extLst>
          </c:dPt>
          <c:dPt>
            <c:idx val="60"/>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A-F567-460B-BBE9-E5221FF425BA}"/>
              </c:ext>
            </c:extLst>
          </c:dPt>
          <c:dPt>
            <c:idx val="6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C-F567-460B-BBE9-E5221FF425BA}"/>
              </c:ext>
            </c:extLst>
          </c:dPt>
          <c:dPt>
            <c:idx val="62"/>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FE-F567-460B-BBE9-E5221FF425BA}"/>
              </c:ext>
            </c:extLst>
          </c:dPt>
          <c:dPt>
            <c:idx val="6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0-F567-460B-BBE9-E5221FF425BA}"/>
              </c:ext>
            </c:extLst>
          </c:dPt>
          <c:dPt>
            <c:idx val="64"/>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E3-BBC8-4AE2-B843-7D43000A1FA1}"/>
              </c:ext>
            </c:extLst>
          </c:dPt>
          <c:dPt>
            <c:idx val="6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E5-BBC8-4AE2-B843-7D43000A1FA1}"/>
              </c:ext>
            </c:extLst>
          </c:dPt>
          <c:dPt>
            <c:idx val="6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E7-BBC8-4AE2-B843-7D43000A1FA1}"/>
              </c:ext>
            </c:extLst>
          </c:dPt>
          <c:dPt>
            <c:idx val="6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E9-BBC8-4AE2-B843-7D43000A1FA1}"/>
              </c:ext>
            </c:extLst>
          </c:dPt>
          <c:dPt>
            <c:idx val="6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DB-A3E9-4B8A-81CD-4645D3E01CD3}"/>
              </c:ext>
            </c:extLst>
          </c:dPt>
          <c:dLbls>
            <c:dLbl>
              <c:idx val="42"/>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D6-F567-460B-BBE9-E5221FF425BA}"/>
                </c:ext>
              </c:extLst>
            </c:dLbl>
            <c:dLbl>
              <c:idx val="43"/>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D8-F567-460B-BBE9-E5221FF425BA}"/>
                </c:ext>
              </c:extLst>
            </c:dLbl>
            <c:dLbl>
              <c:idx val="44"/>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DA-F567-460B-BBE9-E5221FF425BA}"/>
                </c:ext>
              </c:extLst>
            </c:dLbl>
            <c:dLbl>
              <c:idx val="45"/>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DC-F567-460B-BBE9-E5221FF425BA}"/>
                </c:ext>
              </c:extLst>
            </c:dLbl>
            <c:dLbl>
              <c:idx val="46"/>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DE-F567-460B-BBE9-E5221FF425BA}"/>
                </c:ext>
              </c:extLst>
            </c:dLbl>
            <c:dLbl>
              <c:idx val="47"/>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0-F567-460B-BBE9-E5221FF425BA}"/>
                </c:ext>
              </c:extLst>
            </c:dLbl>
            <c:dLbl>
              <c:idx val="48"/>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2-F567-460B-BBE9-E5221FF425BA}"/>
                </c:ext>
              </c:extLst>
            </c:dLbl>
            <c:dLbl>
              <c:idx val="49"/>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4-F567-460B-BBE9-E5221FF425BA}"/>
                </c:ext>
              </c:extLst>
            </c:dLbl>
            <c:dLbl>
              <c:idx val="50"/>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6-F567-460B-BBE9-E5221FF425BA}"/>
                </c:ext>
              </c:extLst>
            </c:dLbl>
            <c:dLbl>
              <c:idx val="51"/>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CB-BBC8-4AE2-B843-7D43000A1FA1}"/>
                </c:ext>
              </c:extLst>
            </c:dLbl>
            <c:dLbl>
              <c:idx val="52"/>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A-F567-460B-BBE9-E5221FF425BA}"/>
                </c:ext>
              </c:extLst>
            </c:dLbl>
            <c:dLbl>
              <c:idx val="53"/>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accent4">
                          <a:lumMod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C-F567-460B-BBE9-E5221FF425BA}"/>
                </c:ext>
              </c:extLst>
            </c:dLbl>
            <c:dLbl>
              <c:idx val="5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D-71D4-4066-82E4-E7355AA0E1C6}"/>
                </c:ext>
              </c:extLst>
            </c:dLbl>
            <c:spPr>
              <a:noFill/>
              <a:ln>
                <a:noFill/>
              </a:ln>
              <a:effectLst/>
            </c:spPr>
            <c:txPr>
              <a:bodyPr rot="0" spcFirstLastPara="1" vertOverflow="overflow" horzOverflow="overflow" vert="horz" wrap="square" lIns="38100" tIns="182880" rIns="38100" bIns="19050" anchor="ctr" anchorCtr="0">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multiLvlStrRef>
              <c:f>'Ch4. Granted Patents'!$AE$80:$CU$81</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Patents'!$AE$83:$CU$83</c:f>
              <c:numCache>
                <c:formatCode>#,##0.0</c:formatCode>
                <c:ptCount val="69"/>
                <c:pt idx="0">
                  <c:v>27.405999999999999</c:v>
                </c:pt>
                <c:pt idx="1">
                  <c:v>29.53</c:v>
                </c:pt>
                <c:pt idx="2">
                  <c:v>33.052999999999997</c:v>
                </c:pt>
                <c:pt idx="3">
                  <c:v>33.103999999999999</c:v>
                </c:pt>
                <c:pt idx="4">
                  <c:v>31.571000000000002</c:v>
                </c:pt>
                <c:pt idx="5">
                  <c:v>31.861000000000001</c:v>
                </c:pt>
                <c:pt idx="6">
                  <c:v>47.213000000000001</c:v>
                </c:pt>
                <c:pt idx="7">
                  <c:v>54.954999999999998</c:v>
                </c:pt>
                <c:pt idx="8">
                  <c:v>69.718999999999994</c:v>
                </c:pt>
                <c:pt idx="9">
                  <c:v>77.213999999999999</c:v>
                </c:pt>
                <c:pt idx="10">
                  <c:v>75.058999999999997</c:v>
                </c:pt>
                <c:pt idx="11">
                  <c:v>61.085000000000001</c:v>
                </c:pt>
                <c:pt idx="12">
                  <c:v>45.128</c:v>
                </c:pt>
                <c:pt idx="14">
                  <c:v>35.456000000000003</c:v>
                </c:pt>
                <c:pt idx="15">
                  <c:v>40.728999999999999</c:v>
                </c:pt>
                <c:pt idx="16">
                  <c:v>49.874000000000002</c:v>
                </c:pt>
                <c:pt idx="17">
                  <c:v>51.508000000000003</c:v>
                </c:pt>
                <c:pt idx="18">
                  <c:v>49.392000000000003</c:v>
                </c:pt>
                <c:pt idx="19">
                  <c:v>42.609000000000002</c:v>
                </c:pt>
                <c:pt idx="20">
                  <c:v>42.444000000000003</c:v>
                </c:pt>
                <c:pt idx="21">
                  <c:v>42.732999999999997</c:v>
                </c:pt>
                <c:pt idx="22">
                  <c:v>42.085000000000001</c:v>
                </c:pt>
                <c:pt idx="23">
                  <c:v>39.045000000000002</c:v>
                </c:pt>
                <c:pt idx="24">
                  <c:v>39.054000000000002</c:v>
                </c:pt>
                <c:pt idx="25">
                  <c:v>42.518999999999998</c:v>
                </c:pt>
                <c:pt idx="26">
                  <c:v>46.302999999999997</c:v>
                </c:pt>
                <c:pt idx="28">
                  <c:v>17.439</c:v>
                </c:pt>
                <c:pt idx="29">
                  <c:v>22.462</c:v>
                </c:pt>
                <c:pt idx="30">
                  <c:v>29.405999999999999</c:v>
                </c:pt>
                <c:pt idx="31">
                  <c:v>31.663</c:v>
                </c:pt>
                <c:pt idx="32">
                  <c:v>32.491999999999997</c:v>
                </c:pt>
                <c:pt idx="33">
                  <c:v>25.555</c:v>
                </c:pt>
                <c:pt idx="34">
                  <c:v>26.475000000000001</c:v>
                </c:pt>
                <c:pt idx="35">
                  <c:v>29.815000000000001</c:v>
                </c:pt>
                <c:pt idx="36">
                  <c:v>29.785</c:v>
                </c:pt>
                <c:pt idx="37">
                  <c:v>30.809000000000001</c:v>
                </c:pt>
                <c:pt idx="38">
                  <c:v>30.885000000000002</c:v>
                </c:pt>
                <c:pt idx="39">
                  <c:v>35.530999999999999</c:v>
                </c:pt>
                <c:pt idx="40">
                  <c:v>35.978000000000002</c:v>
                </c:pt>
                <c:pt idx="42">
                  <c:v>55.343000000000004</c:v>
                </c:pt>
                <c:pt idx="43">
                  <c:v>59.765999999999998</c:v>
                </c:pt>
                <c:pt idx="44">
                  <c:v>73.257999999999996</c:v>
                </c:pt>
                <c:pt idx="45">
                  <c:v>64.153000000000006</c:v>
                </c:pt>
                <c:pt idx="46">
                  <c:v>70.548000000000002</c:v>
                </c:pt>
                <c:pt idx="47">
                  <c:v>95.88</c:v>
                </c:pt>
                <c:pt idx="48">
                  <c:v>102.072</c:v>
                </c:pt>
                <c:pt idx="49">
                  <c:v>93.174000000000007</c:v>
                </c:pt>
                <c:pt idx="50">
                  <c:v>86.188000000000002</c:v>
                </c:pt>
                <c:pt idx="51">
                  <c:v>91.885000000000005</c:v>
                </c:pt>
                <c:pt idx="52">
                  <c:v>89.436000000000007</c:v>
                </c:pt>
                <c:pt idx="53">
                  <c:v>110.036</c:v>
                </c:pt>
                <c:pt idx="54">
                  <c:v>102.756</c:v>
                </c:pt>
                <c:pt idx="56">
                  <c:v>111.822</c:v>
                </c:pt>
                <c:pt idx="57">
                  <c:v>115.879</c:v>
                </c:pt>
                <c:pt idx="58">
                  <c:v>132.12899999999999</c:v>
                </c:pt>
                <c:pt idx="59">
                  <c:v>144.24199999999999</c:v>
                </c:pt>
                <c:pt idx="60">
                  <c:v>156.05600000000001</c:v>
                </c:pt>
                <c:pt idx="61">
                  <c:v>157.43799999999999</c:v>
                </c:pt>
                <c:pt idx="62">
                  <c:v>159.32599999999999</c:v>
                </c:pt>
                <c:pt idx="63">
                  <c:v>167.88</c:v>
                </c:pt>
                <c:pt idx="64">
                  <c:v>163.346</c:v>
                </c:pt>
                <c:pt idx="65">
                  <c:v>187.315</c:v>
                </c:pt>
                <c:pt idx="66">
                  <c:v>187.43799999999999</c:v>
                </c:pt>
                <c:pt idx="67">
                  <c:v>178.07499999999999</c:v>
                </c:pt>
                <c:pt idx="68">
                  <c:v>181.48</c:v>
                </c:pt>
              </c:numCache>
            </c:numRef>
          </c:val>
          <c:extLst>
            <c:ext xmlns:c16="http://schemas.microsoft.com/office/drawing/2014/chart" uri="{C3380CC4-5D6E-409C-BE32-E72D297353CC}">
              <c16:uniqueId val="{00000101-F567-460B-BBE9-E5221FF425BA}"/>
            </c:ext>
          </c:extLst>
        </c:ser>
        <c:ser>
          <c:idx val="2"/>
          <c:order val="2"/>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Granted Patents'!$AE$80:$CU$81</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Patents'!$AE$84:$CU$84</c:f>
              <c:numCache>
                <c:formatCode>#,##0.0</c:formatCode>
                <c:ptCount val="69"/>
                <c:pt idx="0">
                  <c:v>58.108000000000004</c:v>
                </c:pt>
                <c:pt idx="1">
                  <c:v>62.112000000000002</c:v>
                </c:pt>
                <c:pt idx="2">
                  <c:v>65.686999999999998</c:v>
                </c:pt>
                <c:pt idx="3">
                  <c:v>66.711999999999989</c:v>
                </c:pt>
                <c:pt idx="4">
                  <c:v>64.613</c:v>
                </c:pt>
                <c:pt idx="5">
                  <c:v>68.421000000000006</c:v>
                </c:pt>
                <c:pt idx="6">
                  <c:v>95.94</c:v>
                </c:pt>
                <c:pt idx="7">
                  <c:v>105.63499999999999</c:v>
                </c:pt>
                <c:pt idx="8">
                  <c:v>127.625</c:v>
                </c:pt>
                <c:pt idx="9">
                  <c:v>137.78399999999999</c:v>
                </c:pt>
                <c:pt idx="10">
                  <c:v>133.715</c:v>
                </c:pt>
                <c:pt idx="11">
                  <c:v>108.79900000000001</c:v>
                </c:pt>
                <c:pt idx="12">
                  <c:v>81.753999999999991</c:v>
                </c:pt>
                <c:pt idx="14">
                  <c:v>222.69299999999998</c:v>
                </c:pt>
                <c:pt idx="15">
                  <c:v>238.32299999999998</c:v>
                </c:pt>
                <c:pt idx="16">
                  <c:v>274.791</c:v>
                </c:pt>
                <c:pt idx="17">
                  <c:v>277.07900000000001</c:v>
                </c:pt>
                <c:pt idx="18">
                  <c:v>227.142</c:v>
                </c:pt>
                <c:pt idx="19">
                  <c:v>189.358</c:v>
                </c:pt>
                <c:pt idx="20">
                  <c:v>203.08699999999999</c:v>
                </c:pt>
                <c:pt idx="21">
                  <c:v>199.577</c:v>
                </c:pt>
                <c:pt idx="22">
                  <c:v>194.52500000000001</c:v>
                </c:pt>
                <c:pt idx="23">
                  <c:v>179.91000000000003</c:v>
                </c:pt>
                <c:pt idx="24">
                  <c:v>179.38300000000001</c:v>
                </c:pt>
                <c:pt idx="25">
                  <c:v>184.37200000000001</c:v>
                </c:pt>
                <c:pt idx="26">
                  <c:v>201.42</c:v>
                </c:pt>
                <c:pt idx="28">
                  <c:v>68.843000000000004</c:v>
                </c:pt>
                <c:pt idx="29">
                  <c:v>94.72</c:v>
                </c:pt>
                <c:pt idx="30">
                  <c:v>113.46700000000001</c:v>
                </c:pt>
                <c:pt idx="31">
                  <c:v>127.33</c:v>
                </c:pt>
                <c:pt idx="32">
                  <c:v>129.786</c:v>
                </c:pt>
                <c:pt idx="33">
                  <c:v>101.87299999999999</c:v>
                </c:pt>
                <c:pt idx="34">
                  <c:v>108.875</c:v>
                </c:pt>
                <c:pt idx="35">
                  <c:v>120.66199999999999</c:v>
                </c:pt>
                <c:pt idx="36">
                  <c:v>119.012</c:v>
                </c:pt>
                <c:pt idx="37">
                  <c:v>125.661</c:v>
                </c:pt>
                <c:pt idx="38">
                  <c:v>134.76599999999999</c:v>
                </c:pt>
                <c:pt idx="39">
                  <c:v>145.88200000000001</c:v>
                </c:pt>
                <c:pt idx="40">
                  <c:v>135.18</c:v>
                </c:pt>
                <c:pt idx="42">
                  <c:v>135.11000000000001</c:v>
                </c:pt>
                <c:pt idx="43">
                  <c:v>172.113</c:v>
                </c:pt>
                <c:pt idx="44">
                  <c:v>217.10500000000002</c:v>
                </c:pt>
                <c:pt idx="45">
                  <c:v>207.68799999999999</c:v>
                </c:pt>
                <c:pt idx="46">
                  <c:v>233.22800000000001</c:v>
                </c:pt>
                <c:pt idx="47">
                  <c:v>359.31599999999997</c:v>
                </c:pt>
                <c:pt idx="48">
                  <c:v>404.20800000000003</c:v>
                </c:pt>
                <c:pt idx="49">
                  <c:v>420.14400000000001</c:v>
                </c:pt>
                <c:pt idx="50">
                  <c:v>432.14699999999999</c:v>
                </c:pt>
                <c:pt idx="51">
                  <c:v>452.80399999999997</c:v>
                </c:pt>
                <c:pt idx="52">
                  <c:v>530.12699999999995</c:v>
                </c:pt>
                <c:pt idx="53">
                  <c:v>695.94599999999991</c:v>
                </c:pt>
                <c:pt idx="54">
                  <c:v>798.34699999999998</c:v>
                </c:pt>
                <c:pt idx="56">
                  <c:v>219.614</c:v>
                </c:pt>
                <c:pt idx="57">
                  <c:v>224.505</c:v>
                </c:pt>
                <c:pt idx="58">
                  <c:v>253.15499999999997</c:v>
                </c:pt>
                <c:pt idx="59">
                  <c:v>277.83499999999998</c:v>
                </c:pt>
                <c:pt idx="60">
                  <c:v>300.67700000000002</c:v>
                </c:pt>
                <c:pt idx="61">
                  <c:v>298.40699999999998</c:v>
                </c:pt>
                <c:pt idx="62">
                  <c:v>303.04899999999998</c:v>
                </c:pt>
                <c:pt idx="63">
                  <c:v>318.82900000000001</c:v>
                </c:pt>
                <c:pt idx="64">
                  <c:v>307.75900000000001</c:v>
                </c:pt>
                <c:pt idx="65">
                  <c:v>354.43</c:v>
                </c:pt>
                <c:pt idx="66">
                  <c:v>351.99299999999999</c:v>
                </c:pt>
                <c:pt idx="67">
                  <c:v>327.77499999999998</c:v>
                </c:pt>
                <c:pt idx="68">
                  <c:v>323.41800000000001</c:v>
                </c:pt>
              </c:numCache>
            </c:numRef>
          </c:val>
          <c:extLst>
            <c:ext xmlns:c16="http://schemas.microsoft.com/office/drawing/2014/chart" uri="{C3380CC4-5D6E-409C-BE32-E72D297353CC}">
              <c16:uniqueId val="{00000102-F567-460B-BBE9-E5221FF425BA}"/>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700"/>
          <c:min val="0"/>
        </c:scaling>
        <c:delete val="1"/>
        <c:axPos val="l"/>
        <c:numFmt formatCode="#,##0" sourceLinked="0"/>
        <c:majorTickMark val="out"/>
        <c:minorTickMark val="none"/>
        <c:tickLblPos val="nextTo"/>
        <c:crossAx val="621250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4.6: GRANTED PATENTS - </a:t>
            </a:r>
            <a:r>
              <a:rPr lang="en-GB" b="1" baseline="0"/>
              <a:t>ORIGIN DISTRIBUTION</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5769805680119583E-3"/>
          <c:y val="8.2422222222222216E-2"/>
          <c:w val="0.98684603886397604"/>
          <c:h val="0.81373423322084737"/>
        </c:manualLayout>
      </c:layout>
      <c:barChart>
        <c:barDir val="col"/>
        <c:grouping val="stacked"/>
        <c:varyColors val="0"/>
        <c:ser>
          <c:idx val="0"/>
          <c:order val="0"/>
          <c:tx>
            <c:strRef>
              <c:f>'Ch4. Granted Patents'!$B$7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Patents'!$AE$88:$CU$88</c:f>
              <c:numCache>
                <c:formatCode>0%</c:formatCode>
                <c:ptCount val="69"/>
                <c:pt idx="0">
                  <c:v>0.52836098299717771</c:v>
                </c:pt>
                <c:pt idx="1">
                  <c:v>0.52456852138073162</c:v>
                </c:pt>
                <c:pt idx="2">
                  <c:v>0.49681063224077826</c:v>
                </c:pt>
                <c:pt idx="3">
                  <c:v>0.50377743134668429</c:v>
                </c:pt>
                <c:pt idx="4">
                  <c:v>0.51138315818798075</c:v>
                </c:pt>
                <c:pt idx="5">
                  <c:v>0.53433887256836354</c:v>
                </c:pt>
                <c:pt idx="6">
                  <c:v>0.5078903481342506</c:v>
                </c:pt>
                <c:pt idx="7">
                  <c:v>0.47976522932740095</c:v>
                </c:pt>
                <c:pt idx="8">
                  <c:v>0.45371988246816847</c:v>
                </c:pt>
                <c:pt idx="9">
                  <c:v>0.43960111478836439</c:v>
                </c:pt>
                <c:pt idx="10">
                  <c:v>0.43866432337434097</c:v>
                </c:pt>
                <c:pt idx="11">
                  <c:v>0.43855182492486144</c:v>
                </c:pt>
                <c:pt idx="12">
                  <c:v>0.44800254421801994</c:v>
                </c:pt>
                <c:pt idx="14">
                  <c:v>7.016834835401202E-2</c:v>
                </c:pt>
                <c:pt idx="15">
                  <c:v>7.2556991981470531E-2</c:v>
                </c:pt>
                <c:pt idx="16">
                  <c:v>7.3979861058040469E-2</c:v>
                </c:pt>
                <c:pt idx="17">
                  <c:v>7.4632144623013652E-2</c:v>
                </c:pt>
                <c:pt idx="18">
                  <c:v>8.7685236548062442E-2</c:v>
                </c:pt>
                <c:pt idx="19">
                  <c:v>8.6191235648876735E-2</c:v>
                </c:pt>
                <c:pt idx="20">
                  <c:v>7.9207433267515892E-2</c:v>
                </c:pt>
                <c:pt idx="21">
                  <c:v>7.8085150092445516E-2</c:v>
                </c:pt>
                <c:pt idx="22">
                  <c:v>7.53270787816476E-2</c:v>
                </c:pt>
                <c:pt idx="23">
                  <c:v>7.4954143738535928E-2</c:v>
                </c:pt>
                <c:pt idx="24">
                  <c:v>7.3953496150694326E-2</c:v>
                </c:pt>
                <c:pt idx="25">
                  <c:v>7.7544312585425115E-2</c:v>
                </c:pt>
                <c:pt idx="26">
                  <c:v>7.3508092542945089E-2</c:v>
                </c:pt>
                <c:pt idx="28">
                  <c:v>5.1319669392676091E-2</c:v>
                </c:pt>
                <c:pt idx="29">
                  <c:v>4.586148648648649E-2</c:v>
                </c:pt>
                <c:pt idx="30">
                  <c:v>5.5275983325548395E-2</c:v>
                </c:pt>
                <c:pt idx="31">
                  <c:v>5.744129427471923E-2</c:v>
                </c:pt>
                <c:pt idx="32">
                  <c:v>5.9644337601898509E-2</c:v>
                </c:pt>
                <c:pt idx="33">
                  <c:v>6.3137435826961019E-2</c:v>
                </c:pt>
                <c:pt idx="34">
                  <c:v>6.0078071182548792E-2</c:v>
                </c:pt>
                <c:pt idx="35">
                  <c:v>6.1809020238351761E-2</c:v>
                </c:pt>
                <c:pt idx="36">
                  <c:v>6.2741572278425708E-2</c:v>
                </c:pt>
                <c:pt idx="37">
                  <c:v>6.1323720167752921E-2</c:v>
                </c:pt>
                <c:pt idx="38">
                  <c:v>5.5488773132689254E-2</c:v>
                </c:pt>
                <c:pt idx="39">
                  <c:v>5.7183202862587573E-2</c:v>
                </c:pt>
                <c:pt idx="40">
                  <c:v>6.3663263796419595E-2</c:v>
                </c:pt>
                <c:pt idx="42">
                  <c:v>0.10086596106875879</c:v>
                </c:pt>
                <c:pt idx="43">
                  <c:v>8.9557441913161701E-2</c:v>
                </c:pt>
                <c:pt idx="44">
                  <c:v>9.1927869003477575E-2</c:v>
                </c:pt>
                <c:pt idx="45">
                  <c:v>8.8204422017641851E-2</c:v>
                </c:pt>
                <c:pt idx="46">
                  <c:v>8.3716363386900375E-2</c:v>
                </c:pt>
                <c:pt idx="47">
                  <c:v>7.4380211290340531E-2</c:v>
                </c:pt>
                <c:pt idx="48">
                  <c:v>7.496387998258322E-2</c:v>
                </c:pt>
                <c:pt idx="49">
                  <c:v>6.4480273430062074E-2</c:v>
                </c:pt>
                <c:pt idx="50">
                  <c:v>5.3171721659527889E-2</c:v>
                </c:pt>
                <c:pt idx="51">
                  <c:v>5.4586531921096103E-2</c:v>
                </c:pt>
                <c:pt idx="52">
                  <c:v>4.5543803654595975E-2</c:v>
                </c:pt>
                <c:pt idx="53">
                  <c:v>4.3463142255289924E-2</c:v>
                </c:pt>
                <c:pt idx="54">
                  <c:v>3.5553462341563258E-2</c:v>
                </c:pt>
                <c:pt idx="56">
                  <c:v>0.14786397952771682</c:v>
                </c:pt>
                <c:pt idx="57">
                  <c:v>0.14598338567069777</c:v>
                </c:pt>
                <c:pt idx="58">
                  <c:v>0.15088779601429955</c:v>
                </c:pt>
                <c:pt idx="59">
                  <c:v>0.156387784116472</c:v>
                </c:pt>
                <c:pt idx="60">
                  <c:v>0.15875175021701027</c:v>
                </c:pt>
                <c:pt idx="61">
                  <c:v>0.15927575425509455</c:v>
                </c:pt>
                <c:pt idx="62">
                  <c:v>0.1580932456467436</c:v>
                </c:pt>
                <c:pt idx="63">
                  <c:v>0.15889395255764061</c:v>
                </c:pt>
                <c:pt idx="64">
                  <c:v>0.15909526610107258</c:v>
                </c:pt>
                <c:pt idx="65">
                  <c:v>0.15697881104872613</c:v>
                </c:pt>
                <c:pt idx="66">
                  <c:v>0.15448318574517106</c:v>
                </c:pt>
                <c:pt idx="67">
                  <c:v>0.15438334223171382</c:v>
                </c:pt>
                <c:pt idx="68">
                  <c:v>0.15417200032156528</c:v>
                </c:pt>
              </c:numCache>
            </c:numRef>
          </c:val>
          <c:extLst>
            <c:ext xmlns:c16="http://schemas.microsoft.com/office/drawing/2014/chart" uri="{C3380CC4-5D6E-409C-BE32-E72D297353CC}">
              <c16:uniqueId val="{00000000-9019-4405-A409-7BEF9F738097}"/>
            </c:ext>
          </c:extLst>
        </c:ser>
        <c:ser>
          <c:idx val="1"/>
          <c:order val="1"/>
          <c:tx>
            <c:strRef>
              <c:f>'Ch4. Granted Patents'!$B$8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Patents'!$AE$89:$CU$89</c:f>
              <c:numCache>
                <c:formatCode>0%</c:formatCode>
                <c:ptCount val="69"/>
                <c:pt idx="0">
                  <c:v>0.18207475734838577</c:v>
                </c:pt>
                <c:pt idx="1">
                  <c:v>0.1875482998454405</c:v>
                </c:pt>
                <c:pt idx="2">
                  <c:v>0.19565515246548024</c:v>
                </c:pt>
                <c:pt idx="3">
                  <c:v>0.1819013071111644</c:v>
                </c:pt>
                <c:pt idx="4">
                  <c:v>0.17210158946342066</c:v>
                </c:pt>
                <c:pt idx="5">
                  <c:v>0.15470396515689627</c:v>
                </c:pt>
                <c:pt idx="6">
                  <c:v>0.16046487387950803</c:v>
                </c:pt>
                <c:pt idx="7">
                  <c:v>0.16717943863302884</c:v>
                </c:pt>
                <c:pt idx="8">
                  <c:v>0.16723212536728696</c:v>
                </c:pt>
                <c:pt idx="9">
                  <c:v>0.16274023108633803</c:v>
                </c:pt>
                <c:pt idx="10">
                  <c:v>0.15129192685936507</c:v>
                </c:pt>
                <c:pt idx="11">
                  <c:v>0.14149946231123448</c:v>
                </c:pt>
                <c:pt idx="12">
                  <c:v>0.1337182278542946</c:v>
                </c:pt>
                <c:pt idx="14">
                  <c:v>0.84078529634968324</c:v>
                </c:pt>
                <c:pt idx="15">
                  <c:v>0.8291016813316382</c:v>
                </c:pt>
                <c:pt idx="16">
                  <c:v>0.81850206156679073</c:v>
                </c:pt>
                <c:pt idx="17">
                  <c:v>0.81410355891280106</c:v>
                </c:pt>
                <c:pt idx="18">
                  <c:v>0.78255012283065217</c:v>
                </c:pt>
                <c:pt idx="19">
                  <c:v>0.77498178054267575</c:v>
                </c:pt>
                <c:pt idx="20">
                  <c:v>0.79100582508973982</c:v>
                </c:pt>
                <c:pt idx="21">
                  <c:v>0.78588214072763896</c:v>
                </c:pt>
                <c:pt idx="22">
                  <c:v>0.78365248682688604</c:v>
                </c:pt>
                <c:pt idx="23">
                  <c:v>0.78297482074370517</c:v>
                </c:pt>
                <c:pt idx="24">
                  <c:v>0.78228706176170537</c:v>
                </c:pt>
                <c:pt idx="25">
                  <c:v>0.76938472219208986</c:v>
                </c:pt>
                <c:pt idx="26">
                  <c:v>0.77011716810644426</c:v>
                </c:pt>
                <c:pt idx="28">
                  <c:v>0.12102900803277021</c:v>
                </c:pt>
                <c:pt idx="29">
                  <c:v>0.11700802364864865</c:v>
                </c:pt>
                <c:pt idx="30">
                  <c:v>0.11439449355319167</c:v>
                </c:pt>
                <c:pt idx="31">
                  <c:v>0.10613366842063929</c:v>
                </c:pt>
                <c:pt idx="32">
                  <c:v>0.10400967746906446</c:v>
                </c:pt>
                <c:pt idx="33">
                  <c:v>9.4382221000657684E-2</c:v>
                </c:pt>
                <c:pt idx="34">
                  <c:v>9.1499425947187144E-2</c:v>
                </c:pt>
                <c:pt idx="35">
                  <c:v>9.1835043344217729E-2</c:v>
                </c:pt>
                <c:pt idx="36">
                  <c:v>9.44358552078782E-2</c:v>
                </c:pt>
                <c:pt idx="37">
                  <c:v>9.0330333198048715E-2</c:v>
                </c:pt>
                <c:pt idx="38">
                  <c:v>8.027989255450188E-2</c:v>
                </c:pt>
                <c:pt idx="39">
                  <c:v>8.1607052275126477E-2</c:v>
                </c:pt>
                <c:pt idx="40">
                  <c:v>8.5937268826749513E-2</c:v>
                </c:pt>
                <c:pt idx="42">
                  <c:v>0.17681888831322626</c:v>
                </c:pt>
                <c:pt idx="43">
                  <c:v>0.147501931870341</c:v>
                </c:pt>
                <c:pt idx="44">
                  <c:v>0.13287119135901984</c:v>
                </c:pt>
                <c:pt idx="45">
                  <c:v>0.10886040599360579</c:v>
                </c:pt>
                <c:pt idx="46">
                  <c:v>0.1136270087639563</c:v>
                </c:pt>
                <c:pt idx="47">
                  <c:v>0.10135368310901824</c:v>
                </c:pt>
                <c:pt idx="48">
                  <c:v>8.6507441713177369E-2</c:v>
                </c:pt>
                <c:pt idx="49">
                  <c:v>7.3998438630564753E-2</c:v>
                </c:pt>
                <c:pt idx="50">
                  <c:v>6.5010285851805058E-2</c:v>
                </c:pt>
                <c:pt idx="51">
                  <c:v>6.7139424563387243E-2</c:v>
                </c:pt>
                <c:pt idx="52">
                  <c:v>5.4618987525630651E-2</c:v>
                </c:pt>
                <c:pt idx="53">
                  <c:v>5.0080034945240007E-2</c:v>
                </c:pt>
                <c:pt idx="54">
                  <c:v>4.1712438325690458E-2</c:v>
                </c:pt>
                <c:pt idx="56">
                  <c:v>0.20405802908739881</c:v>
                </c:pt>
                <c:pt idx="57">
                  <c:v>0.2055143538005835</c:v>
                </c:pt>
                <c:pt idx="58">
                  <c:v>0.20018170685943396</c:v>
                </c:pt>
                <c:pt idx="59">
                  <c:v>0.18686990479961127</c:v>
                </c:pt>
                <c:pt idx="60">
                  <c:v>0.17908918873076424</c:v>
                </c:pt>
                <c:pt idx="61">
                  <c:v>0.17562925802678891</c:v>
                </c:pt>
                <c:pt idx="62">
                  <c:v>0.16432986084758569</c:v>
                </c:pt>
                <c:pt idx="63">
                  <c:v>0.15581079512842308</c:v>
                </c:pt>
                <c:pt idx="64">
                  <c:v>0.15455599998700281</c:v>
                </c:pt>
                <c:pt idx="65">
                  <c:v>0.1510650904268826</c:v>
                </c:pt>
                <c:pt idx="66">
                  <c:v>0.14664780265516644</c:v>
                </c:pt>
                <c:pt idx="67">
                  <c:v>0.14178018457783539</c:v>
                </c:pt>
                <c:pt idx="68">
                  <c:v>0.14116715829050949</c:v>
                </c:pt>
              </c:numCache>
            </c:numRef>
          </c:val>
          <c:extLst>
            <c:ext xmlns:c16="http://schemas.microsoft.com/office/drawing/2014/chart" uri="{C3380CC4-5D6E-409C-BE32-E72D297353CC}">
              <c16:uniqueId val="{00000001-9019-4405-A409-7BEF9F738097}"/>
            </c:ext>
          </c:extLst>
        </c:ser>
        <c:ser>
          <c:idx val="3"/>
          <c:order val="2"/>
          <c:tx>
            <c:strRef>
              <c:f>'Ch4. Granted Patents'!$B$9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Patents'!$AE$91:$CU$91</c:f>
              <c:numCache>
                <c:formatCode>0%</c:formatCode>
                <c:ptCount val="69"/>
                <c:pt idx="0">
                  <c:v>2.395539340538308E-2</c:v>
                </c:pt>
                <c:pt idx="1">
                  <c:v>2.2974626481195259E-2</c:v>
                </c:pt>
                <c:pt idx="2">
                  <c:v>2.7219997868680255E-2</c:v>
                </c:pt>
                <c:pt idx="3">
                  <c:v>2.9814725986329296E-2</c:v>
                </c:pt>
                <c:pt idx="4">
                  <c:v>2.9266556265766949E-2</c:v>
                </c:pt>
                <c:pt idx="5">
                  <c:v>2.9040791569839668E-2</c:v>
                </c:pt>
                <c:pt idx="6">
                  <c:v>3.3458411507191997E-2</c:v>
                </c:pt>
                <c:pt idx="7">
                  <c:v>4.1984190845837079E-2</c:v>
                </c:pt>
                <c:pt idx="8">
                  <c:v>4.9065621939275224E-2</c:v>
                </c:pt>
                <c:pt idx="9">
                  <c:v>5.2596818208209953E-2</c:v>
                </c:pt>
                <c:pt idx="10">
                  <c:v>5.2716598736117865E-2</c:v>
                </c:pt>
                <c:pt idx="11">
                  <c:v>5.3364461070414253E-2</c:v>
                </c:pt>
                <c:pt idx="12">
                  <c:v>5.3612055679232822E-2</c:v>
                </c:pt>
                <c:pt idx="14">
                  <c:v>1.5739156596749786E-2</c:v>
                </c:pt>
                <c:pt idx="15">
                  <c:v>1.6985351812456206E-2</c:v>
                </c:pt>
                <c:pt idx="16">
                  <c:v>1.8796103220265585E-2</c:v>
                </c:pt>
                <c:pt idx="17">
                  <c:v>1.7987649731664977E-2</c:v>
                </c:pt>
                <c:pt idx="18">
                  <c:v>1.9089380211497652E-2</c:v>
                </c:pt>
                <c:pt idx="19">
                  <c:v>2.0521974249833649E-2</c:v>
                </c:pt>
                <c:pt idx="20">
                  <c:v>9.0207644999433737E-3</c:v>
                </c:pt>
                <c:pt idx="21">
                  <c:v>1.2100592753674021E-2</c:v>
                </c:pt>
                <c:pt idx="22">
                  <c:v>2.1585914406888576E-2</c:v>
                </c:pt>
                <c:pt idx="23">
                  <c:v>2.18887221388472E-2</c:v>
                </c:pt>
                <c:pt idx="24">
                  <c:v>2.2075670492744573E-2</c:v>
                </c:pt>
                <c:pt idx="25">
                  <c:v>2.3458008808278915E-2</c:v>
                </c:pt>
                <c:pt idx="26">
                  <c:v>2.5260649389335716E-2</c:v>
                </c:pt>
                <c:pt idx="28">
                  <c:v>0.74668448498758044</c:v>
                </c:pt>
                <c:pt idx="29">
                  <c:v>0.76285895270270265</c:v>
                </c:pt>
                <c:pt idx="30">
                  <c:v>0.7408409493509126</c:v>
                </c:pt>
                <c:pt idx="31">
                  <c:v>0.75133118668027954</c:v>
                </c:pt>
                <c:pt idx="32">
                  <c:v>0.74964942289615211</c:v>
                </c:pt>
                <c:pt idx="33">
                  <c:v>0.74914844954011373</c:v>
                </c:pt>
                <c:pt idx="34">
                  <c:v>0.75683122847301953</c:v>
                </c:pt>
                <c:pt idx="35">
                  <c:v>0.75290480847325592</c:v>
                </c:pt>
                <c:pt idx="36">
                  <c:v>0.7497311195509696</c:v>
                </c:pt>
                <c:pt idx="37">
                  <c:v>0.75482448810689073</c:v>
                </c:pt>
                <c:pt idx="38">
                  <c:v>0.77082498553047507</c:v>
                </c:pt>
                <c:pt idx="39">
                  <c:v>0.75644013654871745</c:v>
                </c:pt>
                <c:pt idx="40">
                  <c:v>0.73385116141441042</c:v>
                </c:pt>
                <c:pt idx="42">
                  <c:v>3.8250314558507879E-2</c:v>
                </c:pt>
                <c:pt idx="43">
                  <c:v>2.8365085728562049E-2</c:v>
                </c:pt>
                <c:pt idx="44">
                  <c:v>2.4504272126390458E-2</c:v>
                </c:pt>
                <c:pt idx="45">
                  <c:v>2.056450059704942E-2</c:v>
                </c:pt>
                <c:pt idx="46">
                  <c:v>1.9838955871507708E-2</c:v>
                </c:pt>
                <c:pt idx="47">
                  <c:v>1.7427556802368946E-2</c:v>
                </c:pt>
                <c:pt idx="48">
                  <c:v>1.8332145825911413E-2</c:v>
                </c:pt>
                <c:pt idx="49">
                  <c:v>1.8700731177881871E-2</c:v>
                </c:pt>
                <c:pt idx="50">
                  <c:v>1.9953858293589914E-2</c:v>
                </c:pt>
                <c:pt idx="51">
                  <c:v>2.0841246985450659E-2</c:v>
                </c:pt>
                <c:pt idx="52">
                  <c:v>1.7563715864311758E-2</c:v>
                </c:pt>
                <c:pt idx="53">
                  <c:v>1.5929396821017721E-2</c:v>
                </c:pt>
                <c:pt idx="54">
                  <c:v>1.3107082509234706E-2</c:v>
                </c:pt>
                <c:pt idx="56">
                  <c:v>5.3143242234101648E-2</c:v>
                </c:pt>
                <c:pt idx="57">
                  <c:v>5.4617937239705129E-2</c:v>
                </c:pt>
                <c:pt idx="58">
                  <c:v>5.2272323280203828E-2</c:v>
                </c:pt>
                <c:pt idx="59">
                  <c:v>5.2362013425234402E-2</c:v>
                </c:pt>
                <c:pt idx="60">
                  <c:v>5.4773062123142112E-2</c:v>
                </c:pt>
                <c:pt idx="61">
                  <c:v>6.0065615082756103E-2</c:v>
                </c:pt>
                <c:pt idx="62">
                  <c:v>6.432623107154288E-2</c:v>
                </c:pt>
                <c:pt idx="63">
                  <c:v>6.4978405352085281E-2</c:v>
                </c:pt>
                <c:pt idx="64">
                  <c:v>6.4271069245740983E-2</c:v>
                </c:pt>
                <c:pt idx="65">
                  <c:v>6.1179922692774315E-2</c:v>
                </c:pt>
                <c:pt idx="66">
                  <c:v>6.243590071393465E-2</c:v>
                </c:pt>
                <c:pt idx="67">
                  <c:v>6.3348333460453057E-2</c:v>
                </c:pt>
                <c:pt idx="68">
                  <c:v>6.8119275983402283E-2</c:v>
                </c:pt>
              </c:numCache>
            </c:numRef>
          </c:val>
          <c:extLst>
            <c:ext xmlns:c16="http://schemas.microsoft.com/office/drawing/2014/chart" uri="{C3380CC4-5D6E-409C-BE32-E72D297353CC}">
              <c16:uniqueId val="{00000003-9019-4405-A409-7BEF9F738097}"/>
            </c:ext>
          </c:extLst>
        </c:ser>
        <c:ser>
          <c:idx val="4"/>
          <c:order val="3"/>
          <c:tx>
            <c:strRef>
              <c:f>'Ch4. Granted Patents'!$B$10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Patents'!$AE$92:$CU$92</c:f>
              <c:numCache>
                <c:formatCode>0%</c:formatCode>
                <c:ptCount val="69"/>
                <c:pt idx="0">
                  <c:v>7.4516417704963171E-3</c:v>
                </c:pt>
                <c:pt idx="1">
                  <c:v>8.2914734672849041E-3</c:v>
                </c:pt>
                <c:pt idx="2">
                  <c:v>1.2072403976433693E-2</c:v>
                </c:pt>
                <c:pt idx="3">
                  <c:v>1.4105408322340808E-2</c:v>
                </c:pt>
                <c:pt idx="4">
                  <c:v>1.835543930787922E-2</c:v>
                </c:pt>
                <c:pt idx="5">
                  <c:v>2.0563861972201516E-2</c:v>
                </c:pt>
                <c:pt idx="6">
                  <c:v>2.619345424223473E-2</c:v>
                </c:pt>
                <c:pt idx="7">
                  <c:v>3.010365882519998E-2</c:v>
                </c:pt>
                <c:pt idx="8">
                  <c:v>3.7853085210577862E-2</c:v>
                </c:pt>
                <c:pt idx="9">
                  <c:v>4.5208442199384545E-2</c:v>
                </c:pt>
                <c:pt idx="10">
                  <c:v>5.1325580525745054E-2</c:v>
                </c:pt>
                <c:pt idx="11">
                  <c:v>6.3088815154551059E-2</c:v>
                </c:pt>
                <c:pt idx="12">
                  <c:v>7.150720454045062E-2</c:v>
                </c:pt>
                <c:pt idx="14">
                  <c:v>1.1450741603912112E-3</c:v>
                </c:pt>
                <c:pt idx="15">
                  <c:v>1.7455302257860131E-3</c:v>
                </c:pt>
                <c:pt idx="16">
                  <c:v>2.9913643459938645E-3</c:v>
                </c:pt>
                <c:pt idx="17">
                  <c:v>4.4860851959188531E-3</c:v>
                </c:pt>
                <c:pt idx="18">
                  <c:v>6.8679504450960193E-3</c:v>
                </c:pt>
                <c:pt idx="19">
                  <c:v>8.1063382587479808E-3</c:v>
                </c:pt>
                <c:pt idx="20">
                  <c:v>2.1133799800085677E-2</c:v>
                </c:pt>
                <c:pt idx="21">
                  <c:v>2.1204848254057333E-2</c:v>
                </c:pt>
                <c:pt idx="22">
                  <c:v>1.6203572805551986E-2</c:v>
                </c:pt>
                <c:pt idx="23">
                  <c:v>2.0777055194263799E-2</c:v>
                </c:pt>
                <c:pt idx="24">
                  <c:v>2.4143870935372916E-2</c:v>
                </c:pt>
                <c:pt idx="25">
                  <c:v>2.6587551255071271E-2</c:v>
                </c:pt>
                <c:pt idx="26">
                  <c:v>3.209711051534108E-2</c:v>
                </c:pt>
                <c:pt idx="28">
                  <c:v>2.9487384338276949E-3</c:v>
                </c:pt>
                <c:pt idx="29">
                  <c:v>3.4417229729729729E-3</c:v>
                </c:pt>
                <c:pt idx="30">
                  <c:v>3.85134003719143E-3</c:v>
                </c:pt>
                <c:pt idx="31">
                  <c:v>4.4372889342652946E-3</c:v>
                </c:pt>
                <c:pt idx="32">
                  <c:v>6.2410429476214696E-3</c:v>
                </c:pt>
                <c:pt idx="33">
                  <c:v>8.3731705162309929E-3</c:v>
                </c:pt>
                <c:pt idx="34">
                  <c:v>1.0121699196326063E-2</c:v>
                </c:pt>
                <c:pt idx="35">
                  <c:v>1.2895526346322786E-2</c:v>
                </c:pt>
                <c:pt idx="36">
                  <c:v>1.513292777198938E-2</c:v>
                </c:pt>
                <c:pt idx="37">
                  <c:v>1.6170490446518807E-2</c:v>
                </c:pt>
                <c:pt idx="38">
                  <c:v>1.5144769452235727E-2</c:v>
                </c:pt>
                <c:pt idx="39">
                  <c:v>2.0557711026720226E-2</c:v>
                </c:pt>
                <c:pt idx="40">
                  <c:v>2.2703062583222369E-2</c:v>
                </c:pt>
                <c:pt idx="42">
                  <c:v>0.59038561172378057</c:v>
                </c:pt>
                <c:pt idx="43">
                  <c:v>0.65275139007512506</c:v>
                </c:pt>
                <c:pt idx="44">
                  <c:v>0.6625688031137007</c:v>
                </c:pt>
                <c:pt idx="45">
                  <c:v>0.69110877855244401</c:v>
                </c:pt>
                <c:pt idx="46">
                  <c:v>0.69751487814499114</c:v>
                </c:pt>
                <c:pt idx="47">
                  <c:v>0.73315967003974214</c:v>
                </c:pt>
                <c:pt idx="48">
                  <c:v>0.74747654672841701</c:v>
                </c:pt>
                <c:pt idx="49">
                  <c:v>0.77823317719638985</c:v>
                </c:pt>
                <c:pt idx="50">
                  <c:v>0.80055860621501485</c:v>
                </c:pt>
                <c:pt idx="51">
                  <c:v>0.79707555586964784</c:v>
                </c:pt>
                <c:pt idx="52">
                  <c:v>0.8312932561442824</c:v>
                </c:pt>
                <c:pt idx="53">
                  <c:v>0.84189003169786158</c:v>
                </c:pt>
                <c:pt idx="54">
                  <c:v>0.87128905100163212</c:v>
                </c:pt>
                <c:pt idx="56">
                  <c:v>1.2098500095622319E-2</c:v>
                </c:pt>
                <c:pt idx="57">
                  <c:v>1.4137769760138972E-2</c:v>
                </c:pt>
                <c:pt idx="58">
                  <c:v>1.8316841460765145E-2</c:v>
                </c:pt>
                <c:pt idx="59">
                  <c:v>2.1336404700631671E-2</c:v>
                </c:pt>
                <c:pt idx="60">
                  <c:v>2.4065691755604853E-2</c:v>
                </c:pt>
                <c:pt idx="61">
                  <c:v>2.7197753403908086E-2</c:v>
                </c:pt>
                <c:pt idx="62">
                  <c:v>3.4522469963603246E-2</c:v>
                </c:pt>
                <c:pt idx="63">
                  <c:v>4.153637216187988E-2</c:v>
                </c:pt>
                <c:pt idx="64">
                  <c:v>4.707579632114739E-2</c:v>
                </c:pt>
                <c:pt idx="65">
                  <c:v>5.4196879496656601E-2</c:v>
                </c:pt>
                <c:pt idx="66">
                  <c:v>6.0876210606460923E-2</c:v>
                </c:pt>
                <c:pt idx="67">
                  <c:v>7.2442986804972923E-2</c:v>
                </c:pt>
                <c:pt idx="68">
                  <c:v>8.37924914506923E-2</c:v>
                </c:pt>
              </c:numCache>
            </c:numRef>
          </c:val>
          <c:extLst>
            <c:ext xmlns:c16="http://schemas.microsoft.com/office/drawing/2014/chart" uri="{C3380CC4-5D6E-409C-BE32-E72D297353CC}">
              <c16:uniqueId val="{00000004-9019-4405-A409-7BEF9F738097}"/>
            </c:ext>
          </c:extLst>
        </c:ser>
        <c:ser>
          <c:idx val="2"/>
          <c:order val="4"/>
          <c:tx>
            <c:strRef>
              <c:f>'Ch4. Granted Patents'!$B$11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Patents'!$AE$90:$CU$90</c:f>
              <c:numCache>
                <c:formatCode>0%</c:formatCode>
                <c:ptCount val="69"/>
                <c:pt idx="0">
                  <c:v>0.21521993529290287</c:v>
                </c:pt>
                <c:pt idx="1">
                  <c:v>0.21544951056156619</c:v>
                </c:pt>
                <c:pt idx="2">
                  <c:v>0.22377334936897711</c:v>
                </c:pt>
                <c:pt idx="3">
                  <c:v>0.22304832713754646</c:v>
                </c:pt>
                <c:pt idx="4">
                  <c:v>0.22261773946419453</c:v>
                </c:pt>
                <c:pt idx="5">
                  <c:v>0.21850016807705236</c:v>
                </c:pt>
                <c:pt idx="6">
                  <c:v>0.22867417135709819</c:v>
                </c:pt>
                <c:pt idx="7">
                  <c:v>0.23628532209968287</c:v>
                </c:pt>
                <c:pt idx="8">
                  <c:v>0.24396474045053868</c:v>
                </c:pt>
                <c:pt idx="9">
                  <c:v>0.25121929977355861</c:v>
                </c:pt>
                <c:pt idx="10">
                  <c:v>0.25548367797180571</c:v>
                </c:pt>
                <c:pt idx="11">
                  <c:v>0.25206114026783333</c:v>
                </c:pt>
                <c:pt idx="12">
                  <c:v>0.24420823445947598</c:v>
                </c:pt>
                <c:pt idx="14">
                  <c:v>6.2076490953914133E-2</c:v>
                </c:pt>
                <c:pt idx="15">
                  <c:v>6.8235126278202274E-2</c:v>
                </c:pt>
                <c:pt idx="16">
                  <c:v>7.3157417819360901E-2</c:v>
                </c:pt>
                <c:pt idx="17">
                  <c:v>7.6263448330620515E-2</c:v>
                </c:pt>
                <c:pt idx="18">
                  <c:v>8.9058826637081645E-2</c:v>
                </c:pt>
                <c:pt idx="19">
                  <c:v>9.5031633202716542E-2</c:v>
                </c:pt>
                <c:pt idx="20">
                  <c:v>8.4929119047501805E-2</c:v>
                </c:pt>
                <c:pt idx="21">
                  <c:v>8.7439935463505314E-2</c:v>
                </c:pt>
                <c:pt idx="22">
                  <c:v>8.7803624212826115E-2</c:v>
                </c:pt>
                <c:pt idx="23">
                  <c:v>8.2202212217219725E-2</c:v>
                </c:pt>
                <c:pt idx="24">
                  <c:v>7.8965119325688615E-2</c:v>
                </c:pt>
                <c:pt idx="25">
                  <c:v>8.3239320504198036E-2</c:v>
                </c:pt>
                <c:pt idx="26">
                  <c:v>8.1317644722470453E-2</c:v>
                </c:pt>
                <c:pt idx="28">
                  <c:v>6.8431067791932365E-2</c:v>
                </c:pt>
                <c:pt idx="29">
                  <c:v>6.2014358108108111E-2</c:v>
                </c:pt>
                <c:pt idx="30">
                  <c:v>7.4065587351388504E-2</c:v>
                </c:pt>
                <c:pt idx="31">
                  <c:v>6.938663315793607E-2</c:v>
                </c:pt>
                <c:pt idx="32">
                  <c:v>6.7834743346740015E-2</c:v>
                </c:pt>
                <c:pt idx="33">
                  <c:v>7.2021045811942325E-2</c:v>
                </c:pt>
                <c:pt idx="34">
                  <c:v>6.8840413318025262E-2</c:v>
                </c:pt>
                <c:pt idx="35">
                  <c:v>6.7096517544877429E-2</c:v>
                </c:pt>
                <c:pt idx="36">
                  <c:v>6.6480691022754002E-2</c:v>
                </c:pt>
                <c:pt idx="37">
                  <c:v>6.5024152282728925E-2</c:v>
                </c:pt>
                <c:pt idx="38">
                  <c:v>6.3101969339447631E-2</c:v>
                </c:pt>
                <c:pt idx="39">
                  <c:v>6.8829602007101628E-2</c:v>
                </c:pt>
                <c:pt idx="40">
                  <c:v>7.816245006657789E-2</c:v>
                </c:pt>
                <c:pt idx="42">
                  <c:v>8.1304122566797421E-2</c:v>
                </c:pt>
                <c:pt idx="43">
                  <c:v>7.1662221912348278E-2</c:v>
                </c:pt>
                <c:pt idx="44">
                  <c:v>7.7271366389535023E-2</c:v>
                </c:pt>
                <c:pt idx="45">
                  <c:v>8.0283887369515819E-2</c:v>
                </c:pt>
                <c:pt idx="46">
                  <c:v>7.4609395098358691E-2</c:v>
                </c:pt>
                <c:pt idx="47">
                  <c:v>6.4447450155295058E-2</c:v>
                </c:pt>
                <c:pt idx="48">
                  <c:v>6.3425266199580416E-2</c:v>
                </c:pt>
                <c:pt idx="49">
                  <c:v>5.6344967439734946E-2</c:v>
                </c:pt>
                <c:pt idx="50">
                  <c:v>5.3025937933157005E-2</c:v>
                </c:pt>
                <c:pt idx="51">
                  <c:v>5.1046368848331726E-2</c:v>
                </c:pt>
                <c:pt idx="52">
                  <c:v>3.9771601899167557E-2</c:v>
                </c:pt>
                <c:pt idx="53">
                  <c:v>4.0007414368356163E-2</c:v>
                </c:pt>
                <c:pt idx="54">
                  <c:v>3.1937240322817022E-2</c:v>
                </c:pt>
                <c:pt idx="56">
                  <c:v>0.49082481080441137</c:v>
                </c:pt>
                <c:pt idx="57">
                  <c:v>0.48384668492906618</c:v>
                </c:pt>
                <c:pt idx="58">
                  <c:v>0.47807074717070569</c:v>
                </c:pt>
                <c:pt idx="59">
                  <c:v>0.48083574783594579</c:v>
                </c:pt>
                <c:pt idx="60">
                  <c:v>0.48098457813534123</c:v>
                </c:pt>
                <c:pt idx="61">
                  <c:v>0.47240513794917677</c:v>
                </c:pt>
                <c:pt idx="62">
                  <c:v>0.47425663836541287</c:v>
                </c:pt>
                <c:pt idx="63">
                  <c:v>0.4734481493214231</c:v>
                </c:pt>
                <c:pt idx="64">
                  <c:v>0.46924054211249711</c:v>
                </c:pt>
                <c:pt idx="65">
                  <c:v>0.47150354089665097</c:v>
                </c:pt>
                <c:pt idx="66">
                  <c:v>0.4674950922319478</c:v>
                </c:pt>
                <c:pt idx="67">
                  <c:v>0.45671573487910916</c:v>
                </c:pt>
                <c:pt idx="68">
                  <c:v>0.43886858492724584</c:v>
                </c:pt>
              </c:numCache>
            </c:numRef>
          </c:val>
          <c:extLst>
            <c:ext xmlns:c16="http://schemas.microsoft.com/office/drawing/2014/chart" uri="{C3380CC4-5D6E-409C-BE32-E72D297353CC}">
              <c16:uniqueId val="{00000002-9019-4405-A409-7BEF9F738097}"/>
            </c:ext>
          </c:extLst>
        </c:ser>
        <c:ser>
          <c:idx val="5"/>
          <c:order val="5"/>
          <c:tx>
            <c:strRef>
              <c:f>'Ch4. Granted Patents'!$B$12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Patents'!$AE$87:$CU$87</c:f>
              <c:numCache>
                <c:formatCode>General</c:formatCode>
                <c:ptCount val="6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numCache>
            </c:numRef>
          </c:cat>
          <c:val>
            <c:numRef>
              <c:f>'Ch4. Granted Patents'!$AE$93:$CU$93</c:f>
              <c:numCache>
                <c:formatCode>0%</c:formatCode>
                <c:ptCount val="69"/>
                <c:pt idx="0">
                  <c:v>4.2937289185654301E-2</c:v>
                </c:pt>
                <c:pt idx="1">
                  <c:v>4.1167568263781554E-2</c:v>
                </c:pt>
                <c:pt idx="2">
                  <c:v>4.4468464079650466E-2</c:v>
                </c:pt>
                <c:pt idx="3">
                  <c:v>4.7352800095934768E-2</c:v>
                </c:pt>
                <c:pt idx="4">
                  <c:v>4.6275517310757894E-2</c:v>
                </c:pt>
                <c:pt idx="5">
                  <c:v>4.2852340655646658E-2</c:v>
                </c:pt>
                <c:pt idx="6">
                  <c:v>4.3318740879716489E-2</c:v>
                </c:pt>
                <c:pt idx="7">
                  <c:v>4.4682160268850288E-2</c:v>
                </c:pt>
                <c:pt idx="8">
                  <c:v>4.8164544564152791E-2</c:v>
                </c:pt>
                <c:pt idx="9">
                  <c:v>4.863409394414446E-2</c:v>
                </c:pt>
                <c:pt idx="10">
                  <c:v>5.0517892532625362E-2</c:v>
                </c:pt>
                <c:pt idx="11">
                  <c:v>5.1434296271105434E-2</c:v>
                </c:pt>
                <c:pt idx="12">
                  <c:v>4.8951733248526065E-2</c:v>
                </c:pt>
                <c:pt idx="14">
                  <c:v>1.0085633585249649E-2</c:v>
                </c:pt>
                <c:pt idx="15">
                  <c:v>1.137531837044683E-2</c:v>
                </c:pt>
                <c:pt idx="16">
                  <c:v>1.257319198954842E-2</c:v>
                </c:pt>
                <c:pt idx="17">
                  <c:v>1.2527113205980966E-2</c:v>
                </c:pt>
                <c:pt idx="18">
                  <c:v>1.4748483327610041E-2</c:v>
                </c:pt>
                <c:pt idx="19">
                  <c:v>1.5167038097149315E-2</c:v>
                </c:pt>
                <c:pt idx="20">
                  <c:v>1.4703058295213381E-2</c:v>
                </c:pt>
                <c:pt idx="21">
                  <c:v>1.5287332708678856E-2</c:v>
                </c:pt>
                <c:pt idx="22">
                  <c:v>1.5427322966199718E-2</c:v>
                </c:pt>
                <c:pt idx="23">
                  <c:v>1.7203045967428159E-2</c:v>
                </c:pt>
                <c:pt idx="24">
                  <c:v>1.8574781333794171E-2</c:v>
                </c:pt>
                <c:pt idx="25">
                  <c:v>1.978608465493676E-2</c:v>
                </c:pt>
                <c:pt idx="26">
                  <c:v>1.7699334723463411E-2</c:v>
                </c:pt>
                <c:pt idx="28">
                  <c:v>9.5870313612131958E-3</c:v>
                </c:pt>
                <c:pt idx="29">
                  <c:v>8.8154560810810804E-3</c:v>
                </c:pt>
                <c:pt idx="30">
                  <c:v>1.1571646381767386E-2</c:v>
                </c:pt>
                <c:pt idx="31">
                  <c:v>1.1269928532160528E-2</c:v>
                </c:pt>
                <c:pt idx="32">
                  <c:v>1.2620775738523415E-2</c:v>
                </c:pt>
                <c:pt idx="33">
                  <c:v>1.2937677304094314E-2</c:v>
                </c:pt>
                <c:pt idx="34">
                  <c:v>1.2629161882893225E-2</c:v>
                </c:pt>
                <c:pt idx="35">
                  <c:v>1.3459084052974425E-2</c:v>
                </c:pt>
                <c:pt idx="36">
                  <c:v>1.1477834167983061E-2</c:v>
                </c:pt>
                <c:pt idx="37">
                  <c:v>1.2326815798059859E-2</c:v>
                </c:pt>
                <c:pt idx="38">
                  <c:v>1.515960999065046E-2</c:v>
                </c:pt>
                <c:pt idx="39">
                  <c:v>1.5382295279746645E-2</c:v>
                </c:pt>
                <c:pt idx="40">
                  <c:v>1.5682793312620211E-2</c:v>
                </c:pt>
                <c:pt idx="42">
                  <c:v>1.2375101768929021E-2</c:v>
                </c:pt>
                <c:pt idx="43">
                  <c:v>1.0161928500461905E-2</c:v>
                </c:pt>
                <c:pt idx="44">
                  <c:v>1.0856498007876374E-2</c:v>
                </c:pt>
                <c:pt idx="45">
                  <c:v>1.0978005469743077E-2</c:v>
                </c:pt>
                <c:pt idx="46">
                  <c:v>1.0693398734285764E-2</c:v>
                </c:pt>
                <c:pt idx="47">
                  <c:v>9.2314286032350347E-3</c:v>
                </c:pt>
                <c:pt idx="48">
                  <c:v>9.2947195503305224E-3</c:v>
                </c:pt>
                <c:pt idx="49">
                  <c:v>8.2424121253665411E-3</c:v>
                </c:pt>
                <c:pt idx="50">
                  <c:v>8.2795900469053354E-3</c:v>
                </c:pt>
                <c:pt idx="51">
                  <c:v>9.3108718120864659E-3</c:v>
                </c:pt>
                <c:pt idx="52">
                  <c:v>1.1208634912011651E-2</c:v>
                </c:pt>
                <c:pt idx="53">
                  <c:v>8.6299799122345703E-3</c:v>
                </c:pt>
                <c:pt idx="54">
                  <c:v>6.4007254990624375E-3</c:v>
                </c:pt>
                <c:pt idx="56">
                  <c:v>9.2011438250749047E-2</c:v>
                </c:pt>
                <c:pt idx="57">
                  <c:v>9.5899868599808466E-2</c:v>
                </c:pt>
                <c:pt idx="58">
                  <c:v>0.10027058521459185</c:v>
                </c:pt>
                <c:pt idx="59">
                  <c:v>0.10220814512210484</c:v>
                </c:pt>
                <c:pt idx="60">
                  <c:v>0.10233572903813727</c:v>
                </c:pt>
                <c:pt idx="61">
                  <c:v>0.10542648128227555</c:v>
                </c:pt>
                <c:pt idx="62">
                  <c:v>0.10447155410511172</c:v>
                </c:pt>
                <c:pt idx="63">
                  <c:v>0.10533232547854807</c:v>
                </c:pt>
                <c:pt idx="64">
                  <c:v>0.1057613262325391</c:v>
                </c:pt>
                <c:pt idx="65">
                  <c:v>0.1050757554383094</c:v>
                </c:pt>
                <c:pt idx="66">
                  <c:v>0.10806180804731912</c:v>
                </c:pt>
                <c:pt idx="67">
                  <c:v>0.11132941804591565</c:v>
                </c:pt>
                <c:pt idx="68">
                  <c:v>0.11388048902658479</c:v>
                </c:pt>
              </c:numCache>
            </c:numRef>
          </c:val>
          <c:extLst>
            <c:ext xmlns:c16="http://schemas.microsoft.com/office/drawing/2014/chart" uri="{C3380CC4-5D6E-409C-BE32-E72D297353CC}">
              <c16:uniqueId val="{00000005-9019-4405-A409-7BEF9F738097}"/>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1"/>
          <c:min val="0"/>
        </c:scaling>
        <c:delete val="1"/>
        <c:axPos val="l"/>
        <c:numFmt formatCode="0%" sourceLinked="1"/>
        <c:majorTickMark val="out"/>
        <c:minorTickMark val="none"/>
        <c:tickLblPos val="nextTo"/>
        <c:crossAx val="621250136"/>
        <c:crosses val="autoZero"/>
        <c:crossBetween val="between"/>
      </c:valAx>
      <c:spPr>
        <a:noFill/>
        <a:ln>
          <a:noFill/>
        </a:ln>
        <a:effectLst/>
      </c:spPr>
    </c:plotArea>
    <c:legend>
      <c:legendPos val="b"/>
      <c:legendEntry>
        <c:idx val="4"/>
        <c:delete val="1"/>
      </c:legendEntry>
      <c:layout>
        <c:manualLayout>
          <c:xMode val="edge"/>
          <c:yMode val="edge"/>
          <c:x val="0.21783060533773121"/>
          <c:y val="1.6150581177352834E-2"/>
          <c:w val="0.17617215836086136"/>
          <c:h val="3.905436820397450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4.9: PATENTS GRANTED - PATENTEES DISTRIBUTION </a:t>
            </a:r>
            <a:r>
              <a:rPr lang="en-US" b="1" baseline="0">
                <a:solidFill>
                  <a:srgbClr val="0000CC"/>
                </a:solidFill>
              </a:rPr>
              <a:t>(EXTENDED DATA)</a:t>
            </a:r>
            <a:endParaRPr lang="en-US" b="1">
              <a:solidFill>
                <a:sysClr val="windowText" lastClr="000000"/>
              </a:solidFill>
            </a:endParaRPr>
          </a:p>
        </c:rich>
      </c:tx>
      <c:layout>
        <c:manualLayout>
          <c:xMode val="edge"/>
          <c:yMode val="edge"/>
          <c:x val="1.07669735849527E-2"/>
          <c:y val="1.6316611958489099E-2"/>
        </c:manualLayout>
      </c:layout>
      <c:overlay val="0"/>
      <c:spPr>
        <a:noFill/>
        <a:ln>
          <a:noFill/>
        </a:ln>
        <a:effectLst/>
      </c:spPr>
    </c:title>
    <c:autoTitleDeleted val="0"/>
    <c:plotArea>
      <c:layout>
        <c:manualLayout>
          <c:layoutTarget val="inner"/>
          <c:xMode val="edge"/>
          <c:yMode val="edge"/>
          <c:x val="7.9236360247868422E-3"/>
          <c:y val="6.5911149335180261E-2"/>
          <c:w val="0.98415271114555603"/>
          <c:h val="0.81368358084938031"/>
        </c:manualLayout>
      </c:layout>
      <c:barChart>
        <c:barDir val="col"/>
        <c:grouping val="stacked"/>
        <c:varyColors val="0"/>
        <c:ser>
          <c:idx val="0"/>
          <c:order val="0"/>
          <c:tx>
            <c:strRef>
              <c:f>'Ch4. Granted Patents'!$AD$140</c:f>
              <c:strCache>
                <c:ptCount val="1"/>
                <c:pt idx="0">
                  <c:v>1</c:v>
                </c:pt>
              </c:strCache>
            </c:strRef>
          </c:tx>
          <c:spPr>
            <a:solidFill>
              <a:schemeClr val="tx1">
                <a:lumMod val="50000"/>
                <a:lumOff val="50000"/>
              </a:scheme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Patents'!$AE$140:$CU$140</c:f>
              <c:numCache>
                <c:formatCode>0%</c:formatCode>
                <c:ptCount val="69"/>
                <c:pt idx="0">
                  <c:v>0.688182493853982</c:v>
                </c:pt>
                <c:pt idx="1">
                  <c:v>0.71301432490094485</c:v>
                </c:pt>
                <c:pt idx="2">
                  <c:v>0.70526807070765996</c:v>
                </c:pt>
                <c:pt idx="3">
                  <c:v>0.70587552252670693</c:v>
                </c:pt>
                <c:pt idx="4">
                  <c:v>0.70695249130938587</c:v>
                </c:pt>
                <c:pt idx="5">
                  <c:v>0.70467623889602771</c:v>
                </c:pt>
                <c:pt idx="6">
                  <c:v>0.69554606467358149</c:v>
                </c:pt>
                <c:pt idx="7">
                  <c:v>0.69843325673699608</c:v>
                </c:pt>
                <c:pt idx="8">
                  <c:v>0.6863261695961459</c:v>
                </c:pt>
                <c:pt idx="9">
                  <c:v>0.69061677456071713</c:v>
                </c:pt>
                <c:pt idx="10">
                  <c:v>0.68932451080995005</c:v>
                </c:pt>
                <c:pt idx="11">
                  <c:v>0.70144578313253014</c:v>
                </c:pt>
                <c:pt idx="12">
                  <c:v>0.70818126520681268</c:v>
                </c:pt>
                <c:pt idx="14">
                  <c:v>0.65061856707010424</c:v>
                </c:pt>
                <c:pt idx="15">
                  <c:v>0.64734441186054092</c:v>
                </c:pt>
                <c:pt idx="16">
                  <c:v>0.64154841846191246</c:v>
                </c:pt>
                <c:pt idx="17">
                  <c:v>0.64059646987218499</c:v>
                </c:pt>
                <c:pt idx="18">
                  <c:v>0.64426351811605953</c:v>
                </c:pt>
                <c:pt idx="19">
                  <c:v>0.64053041222254248</c:v>
                </c:pt>
                <c:pt idx="20">
                  <c:v>0.64030217849613491</c:v>
                </c:pt>
                <c:pt idx="21">
                  <c:v>0.64191083695499784</c:v>
                </c:pt>
                <c:pt idx="22">
                  <c:v>0.64109297374024132</c:v>
                </c:pt>
                <c:pt idx="23">
                  <c:v>0.64126586804934738</c:v>
                </c:pt>
                <c:pt idx="24">
                  <c:v>0.64109297374024132</c:v>
                </c:pt>
                <c:pt idx="25">
                  <c:v>0.64229636898920506</c:v>
                </c:pt>
                <c:pt idx="26">
                  <c:v>0.60346277863451558</c:v>
                </c:pt>
                <c:pt idx="28">
                  <c:v>0.65313561014579591</c:v>
                </c:pt>
                <c:pt idx="29">
                  <c:v>0.63556352050975706</c:v>
                </c:pt>
                <c:pt idx="30">
                  <c:v>0.6685551511315081</c:v>
                </c:pt>
                <c:pt idx="31">
                  <c:v>0.67047344223809058</c:v>
                </c:pt>
                <c:pt idx="32">
                  <c:v>0.66998535144126925</c:v>
                </c:pt>
                <c:pt idx="33">
                  <c:v>0.68457107801370098</c:v>
                </c:pt>
                <c:pt idx="34">
                  <c:v>0.68549603620374233</c:v>
                </c:pt>
                <c:pt idx="35">
                  <c:v>0.68313072062115676</c:v>
                </c:pt>
                <c:pt idx="36">
                  <c:v>0.68471042891356415</c:v>
                </c:pt>
                <c:pt idx="37">
                  <c:v>0.68392242727557084</c:v>
                </c:pt>
                <c:pt idx="38">
                  <c:v>0.681571684501041</c:v>
                </c:pt>
                <c:pt idx="39">
                  <c:v>0.67440957471106844</c:v>
                </c:pt>
                <c:pt idx="40">
                  <c:v>0.67764986105597458</c:v>
                </c:pt>
                <c:pt idx="42">
                  <c:v>0.69619014732965012</c:v>
                </c:pt>
                <c:pt idx="43">
                  <c:v>0.67709411711752265</c:v>
                </c:pt>
                <c:pt idx="44">
                  <c:v>0.65804566008602627</c:v>
                </c:pt>
                <c:pt idx="45">
                  <c:v>0.65741094321095417</c:v>
                </c:pt>
                <c:pt idx="46">
                  <c:v>0.647000303510606</c:v>
                </c:pt>
                <c:pt idx="47">
                  <c:v>0.61449978766001334</c:v>
                </c:pt>
                <c:pt idx="48">
                  <c:v>0.60868050641730442</c:v>
                </c:pt>
                <c:pt idx="49">
                  <c:v>0.6214984812689841</c:v>
                </c:pt>
                <c:pt idx="50">
                  <c:v>0.61848319845973343</c:v>
                </c:pt>
                <c:pt idx="51">
                  <c:v>0.62971448897816562</c:v>
                </c:pt>
                <c:pt idx="52">
                  <c:v>0.61092314217049148</c:v>
                </c:pt>
                <c:pt idx="53">
                  <c:v>0</c:v>
                </c:pt>
                <c:pt idx="54">
                  <c:v>0.60219792309714015</c:v>
                </c:pt>
                <c:pt idx="56">
                  <c:v>0.6018550092068472</c:v>
                </c:pt>
                <c:pt idx="57">
                  <c:v>0.6993003805747362</c:v>
                </c:pt>
                <c:pt idx="58">
                  <c:v>0.69455011577902748</c:v>
                </c:pt>
                <c:pt idx="59">
                  <c:v>0.69261010768617171</c:v>
                </c:pt>
                <c:pt idx="60">
                  <c:v>0.69143736422881974</c:v>
                </c:pt>
                <c:pt idx="61">
                  <c:v>0.69036939795062535</c:v>
                </c:pt>
                <c:pt idx="62">
                  <c:v>0.68987296217655736</c:v>
                </c:pt>
                <c:pt idx="63">
                  <c:v>0.68197444712401867</c:v>
                </c:pt>
                <c:pt idx="64">
                  <c:v>0.6916461074561403</c:v>
                </c:pt>
                <c:pt idx="65">
                  <c:v>0.68649255567860223</c:v>
                </c:pt>
                <c:pt idx="66">
                  <c:v>0.69160736233555375</c:v>
                </c:pt>
                <c:pt idx="67">
                  <c:v>0.69316553965588945</c:v>
                </c:pt>
                <c:pt idx="68">
                  <c:v>0.70133485947626484</c:v>
                </c:pt>
              </c:numCache>
            </c:numRef>
          </c:val>
          <c:extLst>
            <c:ext xmlns:c16="http://schemas.microsoft.com/office/drawing/2014/chart" uri="{C3380CC4-5D6E-409C-BE32-E72D297353CC}">
              <c16:uniqueId val="{00000000-5955-464C-B24C-21AD60B0C0B3}"/>
            </c:ext>
          </c:extLst>
        </c:ser>
        <c:ser>
          <c:idx val="1"/>
          <c:order val="1"/>
          <c:tx>
            <c:strRef>
              <c:f>'Ch4. Granted Patents'!$AD$141</c:f>
              <c:strCache>
                <c:ptCount val="1"/>
                <c:pt idx="0">
                  <c:v>2 to 5</c:v>
                </c:pt>
              </c:strCache>
            </c:strRef>
          </c:tx>
          <c:spPr>
            <a:solidFill>
              <a:srgbClr val="00808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Patents'!$AE$141:$CU$141</c:f>
              <c:numCache>
                <c:formatCode>0%</c:formatCode>
                <c:ptCount val="69"/>
                <c:pt idx="0">
                  <c:v>0.23114744725859013</c:v>
                </c:pt>
                <c:pt idx="1">
                  <c:v>0.21280097531240474</c:v>
                </c:pt>
                <c:pt idx="2">
                  <c:v>0.219648795286156</c:v>
                </c:pt>
                <c:pt idx="3">
                  <c:v>0.21632605666511845</c:v>
                </c:pt>
                <c:pt idx="4">
                  <c:v>0.21790266512166859</c:v>
                </c:pt>
                <c:pt idx="5">
                  <c:v>0.21978881501759875</c:v>
                </c:pt>
                <c:pt idx="6">
                  <c:v>0.22653185740434062</c:v>
                </c:pt>
                <c:pt idx="7">
                  <c:v>0.22410695634008773</c:v>
                </c:pt>
                <c:pt idx="8">
                  <c:v>0.23169859610824645</c:v>
                </c:pt>
                <c:pt idx="9">
                  <c:v>0.22807142349007611</c:v>
                </c:pt>
                <c:pt idx="10">
                  <c:v>0.22932663387707442</c:v>
                </c:pt>
                <c:pt idx="11">
                  <c:v>0.22112449799196787</c:v>
                </c:pt>
                <c:pt idx="12">
                  <c:v>0.21558191403081914</c:v>
                </c:pt>
                <c:pt idx="14">
                  <c:v>0.23508901331008816</c:v>
                </c:pt>
                <c:pt idx="15">
                  <c:v>0.23633105246008471</c:v>
                </c:pt>
                <c:pt idx="16">
                  <c:v>0.24213788702865302</c:v>
                </c:pt>
                <c:pt idx="17">
                  <c:v>0.24190505173463178</c:v>
                </c:pt>
                <c:pt idx="18">
                  <c:v>0.24425054331960167</c:v>
                </c:pt>
                <c:pt idx="19">
                  <c:v>0.24863072931680599</c:v>
                </c:pt>
                <c:pt idx="20">
                  <c:v>0.24901616303583979</c:v>
                </c:pt>
                <c:pt idx="21">
                  <c:v>0.24821253329594842</c:v>
                </c:pt>
                <c:pt idx="22">
                  <c:v>0.24854506742370475</c:v>
                </c:pt>
                <c:pt idx="23">
                  <c:v>0.25192204541391022</c:v>
                </c:pt>
                <c:pt idx="24">
                  <c:v>0.24854506742370475</c:v>
                </c:pt>
                <c:pt idx="25">
                  <c:v>0.24943922613206224</c:v>
                </c:pt>
                <c:pt idx="26">
                  <c:v>0.2775830646291883</c:v>
                </c:pt>
                <c:pt idx="28">
                  <c:v>0.28659876173357302</c:v>
                </c:pt>
                <c:pt idx="29">
                  <c:v>0.29800876144962168</c:v>
                </c:pt>
                <c:pt idx="30">
                  <c:v>0.26997942712454503</c:v>
                </c:pt>
                <c:pt idx="31">
                  <c:v>0.27081091656069645</c:v>
                </c:pt>
                <c:pt idx="32">
                  <c:v>0.27226456786751746</c:v>
                </c:pt>
                <c:pt idx="33">
                  <c:v>0.25967076786748916</c:v>
                </c:pt>
                <c:pt idx="34">
                  <c:v>0.25994158616041341</c:v>
                </c:pt>
                <c:pt idx="35">
                  <c:v>0.26325483861826632</c:v>
                </c:pt>
                <c:pt idx="36">
                  <c:v>0.26401589375136075</c:v>
                </c:pt>
                <c:pt idx="37">
                  <c:v>0.26532686893963092</c:v>
                </c:pt>
                <c:pt idx="38">
                  <c:v>0.26860504527187334</c:v>
                </c:pt>
                <c:pt idx="39">
                  <c:v>0.27282901649079533</c:v>
                </c:pt>
                <c:pt idx="40">
                  <c:v>0.26922886065899165</c:v>
                </c:pt>
                <c:pt idx="42">
                  <c:v>0.23181399631675875</c:v>
                </c:pt>
                <c:pt idx="43">
                  <c:v>0.24850339829860016</c:v>
                </c:pt>
                <c:pt idx="44">
                  <c:v>0.26304179993382598</c:v>
                </c:pt>
                <c:pt idx="45">
                  <c:v>0.26370628989144074</c:v>
                </c:pt>
                <c:pt idx="46">
                  <c:v>0.27039422655380568</c:v>
                </c:pt>
                <c:pt idx="47">
                  <c:v>0.29248316447248679</c:v>
                </c:pt>
                <c:pt idx="48">
                  <c:v>0.29567498720893526</c:v>
                </c:pt>
                <c:pt idx="49">
                  <c:v>0.28810538305771177</c:v>
                </c:pt>
                <c:pt idx="50">
                  <c:v>0.29068519799845571</c:v>
                </c:pt>
                <c:pt idx="51">
                  <c:v>0.27968362574934874</c:v>
                </c:pt>
                <c:pt idx="52">
                  <c:v>0.28990151265256114</c:v>
                </c:pt>
                <c:pt idx="53">
                  <c:v>0</c:v>
                </c:pt>
                <c:pt idx="54">
                  <c:v>0.30554553844837384</c:v>
                </c:pt>
                <c:pt idx="56">
                  <c:v>0.2789674691400123</c:v>
                </c:pt>
                <c:pt idx="57">
                  <c:v>0.2168820218317723</c:v>
                </c:pt>
                <c:pt idx="58">
                  <c:v>0.22109659278862057</c:v>
                </c:pt>
                <c:pt idx="59">
                  <c:v>0.2232541355668243</c:v>
                </c:pt>
                <c:pt idx="60">
                  <c:v>0.22315351194786387</c:v>
                </c:pt>
                <c:pt idx="61">
                  <c:v>0.22149290741348504</c:v>
                </c:pt>
                <c:pt idx="62">
                  <c:v>0.22285601180408104</c:v>
                </c:pt>
                <c:pt idx="63">
                  <c:v>0.22951408486838729</c:v>
                </c:pt>
                <c:pt idx="64">
                  <c:v>0.22214226973684212</c:v>
                </c:pt>
                <c:pt idx="65">
                  <c:v>0.22615971453180755</c:v>
                </c:pt>
                <c:pt idx="66">
                  <c:v>0.22146184543950959</c:v>
                </c:pt>
                <c:pt idx="67">
                  <c:v>0.22444201414026277</c:v>
                </c:pt>
                <c:pt idx="68">
                  <c:v>0.21592860125906793</c:v>
                </c:pt>
              </c:numCache>
            </c:numRef>
          </c:val>
          <c:extLst>
            <c:ext xmlns:c16="http://schemas.microsoft.com/office/drawing/2014/chart" uri="{C3380CC4-5D6E-409C-BE32-E72D297353CC}">
              <c16:uniqueId val="{00000001-5955-464C-B24C-21AD60B0C0B3}"/>
            </c:ext>
          </c:extLst>
        </c:ser>
        <c:ser>
          <c:idx val="2"/>
          <c:order val="2"/>
          <c:tx>
            <c:strRef>
              <c:f>'Ch4. Granted Patents'!$AD$142</c:f>
              <c:strCache>
                <c:ptCount val="1"/>
                <c:pt idx="0">
                  <c:v>6 to 10</c:v>
                </c:pt>
              </c:strCache>
            </c:strRef>
          </c:tx>
          <c:spPr>
            <a:solidFill>
              <a:srgbClr val="92D05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Patents'!$AE$142:$CU$142</c:f>
              <c:numCache>
                <c:formatCode>0%</c:formatCode>
                <c:ptCount val="69"/>
                <c:pt idx="0">
                  <c:v>3.7676519352810016E-2</c:v>
                </c:pt>
                <c:pt idx="1">
                  <c:v>3.2794879609875038E-2</c:v>
                </c:pt>
                <c:pt idx="2">
                  <c:v>3.4187036929000644E-2</c:v>
                </c:pt>
                <c:pt idx="3">
                  <c:v>3.5589874593590337E-2</c:v>
                </c:pt>
                <c:pt idx="4">
                  <c:v>3.250289687137891E-2</c:v>
                </c:pt>
                <c:pt idx="5">
                  <c:v>3.3633163863903012E-2</c:v>
                </c:pt>
                <c:pt idx="6">
                  <c:v>3.4602980911705744E-2</c:v>
                </c:pt>
                <c:pt idx="7">
                  <c:v>3.3758094840192189E-2</c:v>
                </c:pt>
                <c:pt idx="8">
                  <c:v>3.63205239188528E-2</c:v>
                </c:pt>
                <c:pt idx="9">
                  <c:v>3.5427189300704279E-2</c:v>
                </c:pt>
                <c:pt idx="10">
                  <c:v>3.6729061250486535E-2</c:v>
                </c:pt>
                <c:pt idx="11">
                  <c:v>3.381526104417671E-2</c:v>
                </c:pt>
                <c:pt idx="12">
                  <c:v>3.2897404703974044E-2</c:v>
                </c:pt>
                <c:pt idx="14">
                  <c:v>4.3349984912998289E-2</c:v>
                </c:pt>
                <c:pt idx="15">
                  <c:v>4.5063538611925712E-2</c:v>
                </c:pt>
                <c:pt idx="16">
                  <c:v>4.3480903041536262E-2</c:v>
                </c:pt>
                <c:pt idx="17">
                  <c:v>4.4917833231892877E-2</c:v>
                </c:pt>
                <c:pt idx="18">
                  <c:v>4.2687080346427063E-2</c:v>
                </c:pt>
                <c:pt idx="19">
                  <c:v>4.3312193715768235E-2</c:v>
                </c:pt>
                <c:pt idx="20">
                  <c:v>4.1777933942375264E-2</c:v>
                </c:pt>
                <c:pt idx="21">
                  <c:v>4.1707556427870461E-2</c:v>
                </c:pt>
                <c:pt idx="22">
                  <c:v>4.2902767920511002E-2</c:v>
                </c:pt>
                <c:pt idx="23">
                  <c:v>4.3447166100482749E-2</c:v>
                </c:pt>
                <c:pt idx="24">
                  <c:v>4.2902767920511002E-2</c:v>
                </c:pt>
                <c:pt idx="25">
                  <c:v>4.4195990466844248E-2</c:v>
                </c:pt>
                <c:pt idx="26">
                  <c:v>4.7981214075424085E-2</c:v>
                </c:pt>
                <c:pt idx="28">
                  <c:v>3.0507289794287996E-2</c:v>
                </c:pt>
                <c:pt idx="29">
                  <c:v>3.5085623257666267E-2</c:v>
                </c:pt>
                <c:pt idx="30">
                  <c:v>3.1713878778287706E-2</c:v>
                </c:pt>
                <c:pt idx="31">
                  <c:v>3.1864423359092245E-2</c:v>
                </c:pt>
                <c:pt idx="32">
                  <c:v>2.9719194577550463E-2</c:v>
                </c:pt>
                <c:pt idx="33">
                  <c:v>2.7674585051634233E-2</c:v>
                </c:pt>
                <c:pt idx="34">
                  <c:v>2.6799756074076451E-2</c:v>
                </c:pt>
                <c:pt idx="35">
                  <c:v>2.728895689875032E-2</c:v>
                </c:pt>
                <c:pt idx="36">
                  <c:v>2.5990637927280645E-2</c:v>
                </c:pt>
                <c:pt idx="37">
                  <c:v>2.5675112084245649E-2</c:v>
                </c:pt>
                <c:pt idx="38">
                  <c:v>2.5734760083280878E-2</c:v>
                </c:pt>
                <c:pt idx="39">
                  <c:v>2.7911013658581153E-2</c:v>
                </c:pt>
                <c:pt idx="40">
                  <c:v>2.8012107979356889E-2</c:v>
                </c:pt>
                <c:pt idx="42">
                  <c:v>3.3005294659300181E-2</c:v>
                </c:pt>
                <c:pt idx="43">
                  <c:v>3.4770671107710309E-2</c:v>
                </c:pt>
                <c:pt idx="44">
                  <c:v>3.7020697768464395E-2</c:v>
                </c:pt>
                <c:pt idx="45">
                  <c:v>3.7677522593784665E-2</c:v>
                </c:pt>
                <c:pt idx="46">
                  <c:v>4.0080261693589178E-2</c:v>
                </c:pt>
                <c:pt idx="47">
                  <c:v>4.6629861068980163E-2</c:v>
                </c:pt>
                <c:pt idx="48">
                  <c:v>4.7702507048693131E-2</c:v>
                </c:pt>
                <c:pt idx="49">
                  <c:v>4.5361542355720555E-2</c:v>
                </c:pt>
                <c:pt idx="50">
                  <c:v>4.6839746096687826E-2</c:v>
                </c:pt>
                <c:pt idx="51">
                  <c:v>4.4777837063076073E-2</c:v>
                </c:pt>
                <c:pt idx="52">
                  <c:v>5.0289807266387071E-2</c:v>
                </c:pt>
                <c:pt idx="53">
                  <c:v>0</c:v>
                </c:pt>
                <c:pt idx="54">
                  <c:v>4.5309243379031715E-2</c:v>
                </c:pt>
                <c:pt idx="56">
                  <c:v>5.0126167905612765E-2</c:v>
                </c:pt>
                <c:pt idx="57">
                  <c:v>3.6211572206649806E-2</c:v>
                </c:pt>
                <c:pt idx="58">
                  <c:v>3.6635792259345018E-2</c:v>
                </c:pt>
                <c:pt idx="59">
                  <c:v>3.6674073652023624E-2</c:v>
                </c:pt>
                <c:pt idx="60">
                  <c:v>3.6133236784938454E-2</c:v>
                </c:pt>
                <c:pt idx="61">
                  <c:v>3.8963643656784452E-2</c:v>
                </c:pt>
                <c:pt idx="62">
                  <c:v>3.7715478461150899E-2</c:v>
                </c:pt>
                <c:pt idx="63">
                  <c:v>3.8637179947662782E-2</c:v>
                </c:pt>
                <c:pt idx="64">
                  <c:v>3.7212171052631582E-2</c:v>
                </c:pt>
                <c:pt idx="65">
                  <c:v>3.7729174357081334E-2</c:v>
                </c:pt>
                <c:pt idx="66">
                  <c:v>3.8511145167898275E-2</c:v>
                </c:pt>
                <c:pt idx="67">
                  <c:v>3.578195037045024E-2</c:v>
                </c:pt>
                <c:pt idx="68">
                  <c:v>3.6194335741133163E-2</c:v>
                </c:pt>
              </c:numCache>
            </c:numRef>
          </c:val>
          <c:extLst>
            <c:ext xmlns:c16="http://schemas.microsoft.com/office/drawing/2014/chart" uri="{C3380CC4-5D6E-409C-BE32-E72D297353CC}">
              <c16:uniqueId val="{00000002-5955-464C-B24C-21AD60B0C0B3}"/>
            </c:ext>
          </c:extLst>
        </c:ser>
        <c:ser>
          <c:idx val="3"/>
          <c:order val="3"/>
          <c:tx>
            <c:strRef>
              <c:f>'Ch4. Granted Patents'!$AD$143</c:f>
              <c:strCache>
                <c:ptCount val="1"/>
                <c:pt idx="0">
                  <c:v>11 to 50</c:v>
                </c:pt>
              </c:strCache>
            </c:strRef>
          </c:tx>
          <c:spPr>
            <a:solidFill>
              <a:srgbClr val="9966FF"/>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Patents'!$AE$143:$CU$143</c:f>
              <c:numCache>
                <c:formatCode>0%</c:formatCode>
                <c:ptCount val="69"/>
                <c:pt idx="0">
                  <c:v>3.5389628952032473E-2</c:v>
                </c:pt>
                <c:pt idx="1">
                  <c:v>3.1149039926851571E-2</c:v>
                </c:pt>
                <c:pt idx="2">
                  <c:v>3.1153374948952803E-2</c:v>
                </c:pt>
                <c:pt idx="3">
                  <c:v>3.1583836507199259E-2</c:v>
                </c:pt>
                <c:pt idx="4">
                  <c:v>3.2097334878331399E-2</c:v>
                </c:pt>
                <c:pt idx="5">
                  <c:v>3.1677747360187719E-2</c:v>
                </c:pt>
                <c:pt idx="6">
                  <c:v>3.2249629565065809E-2</c:v>
                </c:pt>
                <c:pt idx="7">
                  <c:v>3.2421140589095468E-2</c:v>
                </c:pt>
                <c:pt idx="8">
                  <c:v>3.3460047423689264E-2</c:v>
                </c:pt>
                <c:pt idx="9">
                  <c:v>3.4146688482606533E-2</c:v>
                </c:pt>
                <c:pt idx="10">
                  <c:v>3.2978309330880008E-2</c:v>
                </c:pt>
                <c:pt idx="11">
                  <c:v>3.2730923694779118E-2</c:v>
                </c:pt>
                <c:pt idx="12">
                  <c:v>3.2491889699918897E-2</c:v>
                </c:pt>
                <c:pt idx="14">
                  <c:v>5.059174573373118E-2</c:v>
                </c:pt>
                <c:pt idx="15">
                  <c:v>5.0439882697947212E-2</c:v>
                </c:pt>
                <c:pt idx="16">
                  <c:v>5.095560754762845E-2</c:v>
                </c:pt>
                <c:pt idx="17">
                  <c:v>5.1034692635423005E-2</c:v>
                </c:pt>
                <c:pt idx="18">
                  <c:v>4.8752797690486231E-2</c:v>
                </c:pt>
                <c:pt idx="19">
                  <c:v>4.871720957048141E-2</c:v>
                </c:pt>
                <c:pt idx="20">
                  <c:v>4.9754040758959943E-2</c:v>
                </c:pt>
                <c:pt idx="21">
                  <c:v>4.8997616711061266E-2</c:v>
                </c:pt>
                <c:pt idx="22">
                  <c:v>4.8403122782114977E-2</c:v>
                </c:pt>
                <c:pt idx="23">
                  <c:v>4.519935633827999E-2</c:v>
                </c:pt>
                <c:pt idx="24">
                  <c:v>4.8403122782114977E-2</c:v>
                </c:pt>
                <c:pt idx="25">
                  <c:v>4.5983457170895838E-2</c:v>
                </c:pt>
                <c:pt idx="26">
                  <c:v>5.1345857283050612E-2</c:v>
                </c:pt>
                <c:pt idx="28">
                  <c:v>2.3017775114839226E-2</c:v>
                </c:pt>
                <c:pt idx="29">
                  <c:v>2.3576264436479491E-2</c:v>
                </c:pt>
                <c:pt idx="30">
                  <c:v>2.2313657224244342E-2</c:v>
                </c:pt>
                <c:pt idx="31">
                  <c:v>2.002836740682774E-2</c:v>
                </c:pt>
                <c:pt idx="32">
                  <c:v>2.110385579859473E-2</c:v>
                </c:pt>
                <c:pt idx="33">
                  <c:v>2.0449200777069628E-2</c:v>
                </c:pt>
                <c:pt idx="34">
                  <c:v>2.0573225920338927E-2</c:v>
                </c:pt>
                <c:pt idx="35">
                  <c:v>1.9241123296211284E-2</c:v>
                </c:pt>
                <c:pt idx="36">
                  <c:v>1.8887437404746354E-2</c:v>
                </c:pt>
                <c:pt idx="37">
                  <c:v>1.8845792930872692E-2</c:v>
                </c:pt>
                <c:pt idx="38">
                  <c:v>1.7890863312835906E-2</c:v>
                </c:pt>
                <c:pt idx="39">
                  <c:v>1.8477913297702254E-2</c:v>
                </c:pt>
                <c:pt idx="40">
                  <c:v>1.8633386264390633E-2</c:v>
                </c:pt>
                <c:pt idx="42">
                  <c:v>3.0616942909760591E-2</c:v>
                </c:pt>
                <c:pt idx="43">
                  <c:v>3.0359634514110816E-2</c:v>
                </c:pt>
                <c:pt idx="44">
                  <c:v>3.2572331899562518E-2</c:v>
                </c:pt>
                <c:pt idx="45">
                  <c:v>3.2531413088938595E-2</c:v>
                </c:pt>
                <c:pt idx="46">
                  <c:v>3.3537921964050858E-2</c:v>
                </c:pt>
                <c:pt idx="47">
                  <c:v>3.6886489109992114E-2</c:v>
                </c:pt>
                <c:pt idx="48">
                  <c:v>3.8242562131916701E-2</c:v>
                </c:pt>
                <c:pt idx="49">
                  <c:v>3.4973000337495778E-2</c:v>
                </c:pt>
                <c:pt idx="50">
                  <c:v>3.4555719342578943E-2</c:v>
                </c:pt>
                <c:pt idx="51">
                  <c:v>3.4880679618760659E-2</c:v>
                </c:pt>
                <c:pt idx="52">
                  <c:v>3.7792752462183686E-2</c:v>
                </c:pt>
                <c:pt idx="53">
                  <c:v>0</c:v>
                </c:pt>
                <c:pt idx="54">
                  <c:v>3.6605565708487921E-2</c:v>
                </c:pt>
                <c:pt idx="56">
                  <c:v>5.2069835640728361E-2</c:v>
                </c:pt>
                <c:pt idx="57">
                  <c:v>3.6097627674847886E-2</c:v>
                </c:pt>
                <c:pt idx="58">
                  <c:v>3.5643400595434999E-2</c:v>
                </c:pt>
                <c:pt idx="59">
                  <c:v>3.5420583822384291E-2</c:v>
                </c:pt>
                <c:pt idx="60">
                  <c:v>3.6784938450398263E-2</c:v>
                </c:pt>
                <c:pt idx="61">
                  <c:v>3.662983626882544E-2</c:v>
                </c:pt>
                <c:pt idx="62">
                  <c:v>3.7121675603699569E-2</c:v>
                </c:pt>
                <c:pt idx="63">
                  <c:v>3.7046539073323413E-2</c:v>
                </c:pt>
                <c:pt idx="64">
                  <c:v>3.6766721491228067E-2</c:v>
                </c:pt>
                <c:pt idx="65">
                  <c:v>3.7006275378368404E-2</c:v>
                </c:pt>
                <c:pt idx="66">
                  <c:v>3.6386810919078041E-2</c:v>
                </c:pt>
                <c:pt idx="67">
                  <c:v>3.5227430261394618E-2</c:v>
                </c:pt>
                <c:pt idx="68">
                  <c:v>3.5204405190948321E-2</c:v>
                </c:pt>
              </c:numCache>
            </c:numRef>
          </c:val>
          <c:extLst>
            <c:ext xmlns:c16="http://schemas.microsoft.com/office/drawing/2014/chart" uri="{C3380CC4-5D6E-409C-BE32-E72D297353CC}">
              <c16:uniqueId val="{00000003-5955-464C-B24C-21AD60B0C0B3}"/>
            </c:ext>
          </c:extLst>
        </c:ser>
        <c:ser>
          <c:idx val="4"/>
          <c:order val="4"/>
          <c:tx>
            <c:strRef>
              <c:f>'Ch4. Granted Patents'!$AD$144</c:f>
              <c:strCache>
                <c:ptCount val="1"/>
                <c:pt idx="0">
                  <c:v>51 and more</c:v>
                </c:pt>
              </c:strCache>
            </c:strRef>
          </c:tx>
          <c:spPr>
            <a:solidFill>
              <a:schemeClr val="accent2"/>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Patents'!$AE$144:$CU$144</c:f>
              <c:numCache>
                <c:formatCode>0%</c:formatCode>
                <c:ptCount val="69"/>
                <c:pt idx="0">
                  <c:v>7.60391058258533E-3</c:v>
                </c:pt>
                <c:pt idx="1">
                  <c:v>1.0240780249923804E-2</c:v>
                </c:pt>
                <c:pt idx="2">
                  <c:v>9.7427221282305587E-3</c:v>
                </c:pt>
                <c:pt idx="3">
                  <c:v>1.0624709707385044E-2</c:v>
                </c:pt>
                <c:pt idx="4">
                  <c:v>1.0544611819235225E-2</c:v>
                </c:pt>
                <c:pt idx="5">
                  <c:v>1.0224034862282809E-2</c:v>
                </c:pt>
                <c:pt idx="6">
                  <c:v>1.1069467445306371E-2</c:v>
                </c:pt>
                <c:pt idx="7">
                  <c:v>1.1280551493628577E-2</c:v>
                </c:pt>
                <c:pt idx="8">
                  <c:v>1.2194662953065602E-2</c:v>
                </c:pt>
                <c:pt idx="9">
                  <c:v>1.1737924165895995E-2</c:v>
                </c:pt>
                <c:pt idx="10">
                  <c:v>1.164148473160893E-2</c:v>
                </c:pt>
                <c:pt idx="11">
                  <c:v>1.0883534136546184E-2</c:v>
                </c:pt>
                <c:pt idx="12">
                  <c:v>1.0847526358475263E-2</c:v>
                </c:pt>
                <c:pt idx="14">
                  <c:v>2.0350688973078082E-2</c:v>
                </c:pt>
                <c:pt idx="15">
                  <c:v>2.0821114369501466E-2</c:v>
                </c:pt>
                <c:pt idx="16">
                  <c:v>2.187718392026982E-2</c:v>
                </c:pt>
                <c:pt idx="17">
                  <c:v>2.1545952525867315E-2</c:v>
                </c:pt>
                <c:pt idx="18">
                  <c:v>2.0046060527425476E-2</c:v>
                </c:pt>
                <c:pt idx="19">
                  <c:v>1.8809455174401846E-2</c:v>
                </c:pt>
                <c:pt idx="20">
                  <c:v>1.9149683766690091E-2</c:v>
                </c:pt>
                <c:pt idx="21">
                  <c:v>1.9171456610121967E-2</c:v>
                </c:pt>
                <c:pt idx="22">
                  <c:v>1.9056068133427962E-2</c:v>
                </c:pt>
                <c:pt idx="23">
                  <c:v>1.8165564097979616E-2</c:v>
                </c:pt>
                <c:pt idx="24">
                  <c:v>1.9056068133427962E-2</c:v>
                </c:pt>
                <c:pt idx="25">
                  <c:v>1.8084957240992568E-2</c:v>
                </c:pt>
                <c:pt idx="26">
                  <c:v>1.9627085377821395E-2</c:v>
                </c:pt>
                <c:pt idx="28">
                  <c:v>6.7405632115038949E-3</c:v>
                </c:pt>
                <c:pt idx="29">
                  <c:v>7.7658303464755076E-3</c:v>
                </c:pt>
                <c:pt idx="30">
                  <c:v>7.4378857414147811E-3</c:v>
                </c:pt>
                <c:pt idx="31">
                  <c:v>6.8228504352929667E-3</c:v>
                </c:pt>
                <c:pt idx="32">
                  <c:v>6.9270303150681528E-3</c:v>
                </c:pt>
                <c:pt idx="33">
                  <c:v>7.6343682901059947E-3</c:v>
                </c:pt>
                <c:pt idx="34">
                  <c:v>7.1893956414288921E-3</c:v>
                </c:pt>
                <c:pt idx="35">
                  <c:v>7.0843605656153476E-3</c:v>
                </c:pt>
                <c:pt idx="36">
                  <c:v>6.3956020030481167E-3</c:v>
                </c:pt>
                <c:pt idx="37">
                  <c:v>6.2297987696799083E-3</c:v>
                </c:pt>
                <c:pt idx="38">
                  <c:v>6.1976468309688669E-3</c:v>
                </c:pt>
                <c:pt idx="39">
                  <c:v>6.3724818418528159E-3</c:v>
                </c:pt>
                <c:pt idx="40">
                  <c:v>6.4757840412862245E-3</c:v>
                </c:pt>
                <c:pt idx="42">
                  <c:v>8.3736187845303862E-3</c:v>
                </c:pt>
                <c:pt idx="43">
                  <c:v>9.2721789620560831E-3</c:v>
                </c:pt>
                <c:pt idx="44">
                  <c:v>9.3195103121208774E-3</c:v>
                </c:pt>
                <c:pt idx="45">
                  <c:v>8.6738312148818934E-3</c:v>
                </c:pt>
                <c:pt idx="46">
                  <c:v>8.9872862779482691E-3</c:v>
                </c:pt>
                <c:pt idx="47">
                  <c:v>9.5006976885275742E-3</c:v>
                </c:pt>
                <c:pt idx="48">
                  <c:v>9.6994371931505216E-3</c:v>
                </c:pt>
                <c:pt idx="49">
                  <c:v>1.0061592980087748E-2</c:v>
                </c:pt>
                <c:pt idx="50">
                  <c:v>9.4361381025440463E-3</c:v>
                </c:pt>
                <c:pt idx="51">
                  <c:v>1.0943368590648964E-2</c:v>
                </c:pt>
                <c:pt idx="52">
                  <c:v>1.1092785448376608E-2</c:v>
                </c:pt>
                <c:pt idx="53">
                  <c:v>0</c:v>
                </c:pt>
                <c:pt idx="54">
                  <c:v>1.0341729366966364E-2</c:v>
                </c:pt>
                <c:pt idx="56">
                  <c:v>1.6981518106799428E-2</c:v>
                </c:pt>
                <c:pt idx="57">
                  <c:v>1.1508397711993801E-2</c:v>
                </c:pt>
                <c:pt idx="58">
                  <c:v>1.2074098577571949E-2</c:v>
                </c:pt>
                <c:pt idx="59">
                  <c:v>1.2041099272596053E-2</c:v>
                </c:pt>
                <c:pt idx="60">
                  <c:v>1.2490948587979726E-2</c:v>
                </c:pt>
                <c:pt idx="61">
                  <c:v>1.2544214710279692E-2</c:v>
                </c:pt>
                <c:pt idx="62">
                  <c:v>1.2433871954511103E-2</c:v>
                </c:pt>
                <c:pt idx="63">
                  <c:v>1.282774898660783E-2</c:v>
                </c:pt>
                <c:pt idx="64">
                  <c:v>1.2232730263157895E-2</c:v>
                </c:pt>
                <c:pt idx="65">
                  <c:v>1.2612280054140518E-2</c:v>
                </c:pt>
                <c:pt idx="66">
                  <c:v>1.2032836137960336E-2</c:v>
                </c:pt>
                <c:pt idx="67">
                  <c:v>1.1383065572002896E-2</c:v>
                </c:pt>
                <c:pt idx="68">
                  <c:v>1.1337798332585729E-2</c:v>
                </c:pt>
              </c:numCache>
            </c:numRef>
          </c:val>
          <c:extLst>
            <c:ext xmlns:c16="http://schemas.microsoft.com/office/drawing/2014/chart" uri="{C3380CC4-5D6E-409C-BE32-E72D297353CC}">
              <c16:uniqueId val="{00000004-5955-464C-B24C-21AD60B0C0B3}"/>
            </c:ext>
          </c:extLst>
        </c:ser>
        <c:ser>
          <c:idx val="5"/>
          <c:order val="5"/>
          <c:spPr>
            <a:noFill/>
            <a:ln>
              <a:noFill/>
            </a:ln>
          </c:spPr>
          <c:invertIfNegative val="0"/>
          <c:dLbls>
            <c:spPr>
              <a:noFill/>
              <a:ln>
                <a:noFill/>
              </a:ln>
              <a:effectLst/>
            </c:spPr>
            <c:txPr>
              <a:bodyPr wrap="square" lIns="38100" tIns="19050" rIns="38100" bIns="19050" anchor="ctr">
                <a:spAutoFit/>
              </a:bodyPr>
              <a:lstStyle/>
              <a:p>
                <a:pPr>
                  <a:defRPr sz="8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'Ch4. Granted Patents'!$AE$138:$CU$139</c:f>
              <c:multiLvlStrCache>
                <c:ptCount val="6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2">
                    <c:v>2010</c:v>
                  </c:pt>
                  <c:pt idx="43">
                    <c:v>2011</c:v>
                  </c:pt>
                  <c:pt idx="44">
                    <c:v>2012</c:v>
                  </c:pt>
                  <c:pt idx="45">
                    <c:v>2013</c:v>
                  </c:pt>
                  <c:pt idx="46">
                    <c:v>2014</c:v>
                  </c:pt>
                  <c:pt idx="47">
                    <c:v>2015</c:v>
                  </c:pt>
                  <c:pt idx="48">
                    <c:v>2016</c:v>
                  </c:pt>
                  <c:pt idx="49">
                    <c:v>2017</c:v>
                  </c:pt>
                  <c:pt idx="50">
                    <c:v>2018</c:v>
                  </c:pt>
                  <c:pt idx="51">
                    <c:v>2019</c:v>
                  </c:pt>
                  <c:pt idx="52">
                    <c:v>2020</c:v>
                  </c:pt>
                  <c:pt idx="53">
                    <c:v>2021</c:v>
                  </c:pt>
                  <c:pt idx="54">
                    <c:v>2022</c:v>
                  </c:pt>
                  <c:pt idx="56">
                    <c:v>2010</c:v>
                  </c:pt>
                  <c:pt idx="57">
                    <c:v>2011</c:v>
                  </c:pt>
                  <c:pt idx="58">
                    <c:v>2012</c:v>
                  </c:pt>
                  <c:pt idx="59">
                    <c:v>2013</c:v>
                  </c:pt>
                  <c:pt idx="60">
                    <c:v>2014</c:v>
                  </c:pt>
                  <c:pt idx="61">
                    <c:v>2015</c:v>
                  </c:pt>
                  <c:pt idx="62">
                    <c:v>2016</c:v>
                  </c:pt>
                  <c:pt idx="63">
                    <c:v>2017</c:v>
                  </c:pt>
                  <c:pt idx="64">
                    <c:v>2018</c:v>
                  </c:pt>
                  <c:pt idx="65">
                    <c:v>2019</c:v>
                  </c:pt>
                  <c:pt idx="66">
                    <c:v>2020</c:v>
                  </c:pt>
                  <c:pt idx="67">
                    <c:v>2021</c:v>
                  </c:pt>
                  <c:pt idx="68">
                    <c:v>2022</c:v>
                  </c:pt>
                </c:lvl>
                <c:lvl>
                  <c:pt idx="0">
                    <c:v>EPO</c:v>
                  </c:pt>
                  <c:pt idx="14">
                    <c:v>JPO</c:v>
                  </c:pt>
                  <c:pt idx="28">
                    <c:v>KIPO</c:v>
                  </c:pt>
                  <c:pt idx="42">
                    <c:v>CNIPA</c:v>
                  </c:pt>
                  <c:pt idx="56">
                    <c:v>USPTO</c:v>
                  </c:pt>
                </c:lvl>
              </c:multiLvlStrCache>
            </c:multiLvlStrRef>
          </c:cat>
          <c:val>
            <c:numRef>
              <c:f>'Ch4. Granted Patents'!$AE$145:$CU$145</c:f>
              <c:numCache>
                <c:formatCode>#,##0</c:formatCode>
                <c:ptCount val="69"/>
                <c:pt idx="0">
                  <c:v>17491</c:v>
                </c:pt>
                <c:pt idx="1">
                  <c:v>16405</c:v>
                </c:pt>
                <c:pt idx="2">
                  <c:v>17141</c:v>
                </c:pt>
                <c:pt idx="3">
                  <c:v>17224</c:v>
                </c:pt>
                <c:pt idx="4">
                  <c:v>17260</c:v>
                </c:pt>
                <c:pt idx="5">
                  <c:v>17899</c:v>
                </c:pt>
                <c:pt idx="6">
                  <c:v>22946</c:v>
                </c:pt>
                <c:pt idx="7">
                  <c:v>23935</c:v>
                </c:pt>
                <c:pt idx="8">
                  <c:v>26569</c:v>
                </c:pt>
                <c:pt idx="9">
                  <c:v>28114</c:v>
                </c:pt>
                <c:pt idx="10">
                  <c:v>28261</c:v>
                </c:pt>
                <c:pt idx="11">
                  <c:v>24900</c:v>
                </c:pt>
                <c:pt idx="12">
                  <c:v>19728</c:v>
                </c:pt>
                <c:pt idx="14">
                  <c:v>29827</c:v>
                </c:pt>
                <c:pt idx="15">
                  <c:v>30690</c:v>
                </c:pt>
                <c:pt idx="16">
                  <c:v>32911</c:v>
                </c:pt>
                <c:pt idx="17">
                  <c:v>32860</c:v>
                </c:pt>
                <c:pt idx="18">
                  <c:v>30829</c:v>
                </c:pt>
                <c:pt idx="19">
                  <c:v>27752</c:v>
                </c:pt>
                <c:pt idx="20">
                  <c:v>28460</c:v>
                </c:pt>
                <c:pt idx="21">
                  <c:v>28532</c:v>
                </c:pt>
                <c:pt idx="22">
                  <c:v>28180</c:v>
                </c:pt>
                <c:pt idx="23">
                  <c:v>27965</c:v>
                </c:pt>
                <c:pt idx="24">
                  <c:v>28180</c:v>
                </c:pt>
                <c:pt idx="25">
                  <c:v>28532</c:v>
                </c:pt>
                <c:pt idx="26">
                  <c:v>28532</c:v>
                </c:pt>
                <c:pt idx="28">
                  <c:v>20028</c:v>
                </c:pt>
                <c:pt idx="29">
                  <c:v>25110</c:v>
                </c:pt>
                <c:pt idx="30">
                  <c:v>31595</c:v>
                </c:pt>
                <c:pt idx="31">
                  <c:v>40892</c:v>
                </c:pt>
                <c:pt idx="32">
                  <c:v>40277</c:v>
                </c:pt>
                <c:pt idx="33">
                  <c:v>29341</c:v>
                </c:pt>
                <c:pt idx="34">
                  <c:v>31157</c:v>
                </c:pt>
                <c:pt idx="35">
                  <c:v>35289</c:v>
                </c:pt>
                <c:pt idx="36">
                  <c:v>36744</c:v>
                </c:pt>
                <c:pt idx="37">
                  <c:v>38364</c:v>
                </c:pt>
                <c:pt idx="38">
                  <c:v>41306</c:v>
                </c:pt>
                <c:pt idx="39">
                  <c:v>43782</c:v>
                </c:pt>
                <c:pt idx="40">
                  <c:v>40304</c:v>
                </c:pt>
                <c:pt idx="42">
                  <c:v>24194</c:v>
                </c:pt>
                <c:pt idx="43">
                  <c:v>30086</c:v>
                </c:pt>
                <c:pt idx="44">
                  <c:v>35799</c:v>
                </c:pt>
                <c:pt idx="45">
                  <c:v>36153</c:v>
                </c:pt>
                <c:pt idx="46">
                  <c:v>38371</c:v>
                </c:pt>
                <c:pt idx="47">
                  <c:v>50644</c:v>
                </c:pt>
                <c:pt idx="48">
                  <c:v>55914</c:v>
                </c:pt>
                <c:pt idx="49">
                  <c:v>58928</c:v>
                </c:pt>
                <c:pt idx="50">
                  <c:v>61677</c:v>
                </c:pt>
                <c:pt idx="51">
                  <c:v>60190</c:v>
                </c:pt>
                <c:pt idx="52">
                  <c:v>64822</c:v>
                </c:pt>
                <c:pt idx="53">
                  <c:v>0</c:v>
                </c:pt>
                <c:pt idx="54">
                  <c:v>98525</c:v>
                </c:pt>
                <c:pt idx="56">
                  <c:v>17650</c:v>
                </c:pt>
                <c:pt idx="57">
                  <c:v>30686</c:v>
                </c:pt>
                <c:pt idx="58">
                  <c:v>33594</c:v>
                </c:pt>
                <c:pt idx="59">
                  <c:v>36468</c:v>
                </c:pt>
                <c:pt idx="60">
                  <c:v>38195</c:v>
                </c:pt>
                <c:pt idx="61">
                  <c:v>37864</c:v>
                </c:pt>
                <c:pt idx="62">
                  <c:v>38339</c:v>
                </c:pt>
                <c:pt idx="63">
                  <c:v>39873</c:v>
                </c:pt>
                <c:pt idx="64">
                  <c:v>40370</c:v>
                </c:pt>
                <c:pt idx="65">
                  <c:v>44633</c:v>
                </c:pt>
                <c:pt idx="66">
                  <c:v>45579</c:v>
                </c:pt>
                <c:pt idx="67">
                  <c:v>45001</c:v>
                </c:pt>
                <c:pt idx="68">
                  <c:v>45342</c:v>
                </c:pt>
              </c:numCache>
            </c:numRef>
          </c:val>
          <c:extLst>
            <c:ext xmlns:c16="http://schemas.microsoft.com/office/drawing/2014/chart" uri="{C3380CC4-5D6E-409C-BE32-E72D297353CC}">
              <c16:uniqueId val="{00000005-5955-464C-B24C-21AD60B0C0B3}"/>
            </c:ext>
          </c:extLst>
        </c:ser>
        <c:dLbls>
          <c:showLegendKey val="0"/>
          <c:showVal val="0"/>
          <c:showCatName val="0"/>
          <c:showSerName val="0"/>
          <c:showPercent val="0"/>
          <c:showBubbleSize val="0"/>
        </c:dLbls>
        <c:gapWidth val="6"/>
        <c:overlap val="100"/>
        <c:axId val="619630712"/>
        <c:axId val="619631496"/>
      </c:barChart>
      <c:catAx>
        <c:axId val="61963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zh-CN" sz="1200" b="0" i="0" u="none" strike="noStrike" kern="1200" baseline="0">
                <a:solidFill>
                  <a:sysClr val="windowText" lastClr="000000"/>
                </a:solidFill>
                <a:latin typeface="+mn-lt"/>
                <a:ea typeface="+mn-ea"/>
                <a:cs typeface="+mn-cs"/>
              </a:defRPr>
            </a:pPr>
            <a:endParaRPr lang="en-US"/>
          </a:p>
        </c:txPr>
        <c:crossAx val="619631496"/>
        <c:crosses val="autoZero"/>
        <c:auto val="1"/>
        <c:lblAlgn val="ctr"/>
        <c:lblOffset val="100"/>
        <c:noMultiLvlLbl val="0"/>
      </c:catAx>
      <c:valAx>
        <c:axId val="619631496"/>
        <c:scaling>
          <c:orientation val="minMax"/>
          <c:max val="1.03"/>
          <c:min val="0"/>
        </c:scaling>
        <c:delete val="1"/>
        <c:axPos val="l"/>
        <c:numFmt formatCode="0%" sourceLinked="1"/>
        <c:majorTickMark val="out"/>
        <c:minorTickMark val="none"/>
        <c:tickLblPos val="nextTo"/>
        <c:crossAx val="619630712"/>
        <c:crosses val="autoZero"/>
        <c:crossBetween val="between"/>
      </c:valAx>
      <c:spPr>
        <a:noFill/>
        <a:ln>
          <a:noFill/>
        </a:ln>
        <a:effectLst/>
      </c:spPr>
    </c:plotArea>
    <c:legend>
      <c:legendPos val="b"/>
      <c:legendEntry>
        <c:idx val="5"/>
        <c:delete val="1"/>
      </c:legendEntry>
      <c:layout>
        <c:manualLayout>
          <c:xMode val="edge"/>
          <c:yMode val="edge"/>
          <c:x val="0.27819179898362772"/>
          <c:y val="1.189172540467835E-2"/>
          <c:w val="0.24632826405334701"/>
          <c:h val="4.3452694096592498E-2"/>
        </c:manualLayout>
      </c:layout>
      <c:overlay val="0"/>
      <c:spPr>
        <a:noFill/>
        <a:ln>
          <a:noFill/>
        </a:ln>
        <a:effectLst/>
      </c:spPr>
      <c:txPr>
        <a:bodyPr rot="0" spcFirstLastPara="1" vertOverflow="ellipsis" vert="horz" wrap="square" anchor="ctr" anchorCtr="1"/>
        <a:lstStyle/>
        <a:p>
          <a:pPr>
            <a:defRPr lang="zh-CN"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t>Fig. 4.7: GRANTED PATENTS - </a:t>
            </a:r>
            <a:r>
              <a:rPr lang="en-GB" b="1" baseline="0"/>
              <a:t>SECTOR OF TECHNOLOGY</a:t>
            </a:r>
            <a:endParaRPr lang="en-GB" b="1"/>
          </a:p>
        </c:rich>
      </c:tx>
      <c:layout>
        <c:manualLayout>
          <c:xMode val="edge"/>
          <c:yMode val="edge"/>
          <c:x val="7.0866612525452254E-3"/>
          <c:y val="1.3333333333333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5769805680119583E-3"/>
          <c:y val="8.2422222222222216E-2"/>
          <c:w val="0.98684603886397604"/>
          <c:h val="0.81373423322084737"/>
        </c:manualLayout>
      </c:layout>
      <c:barChart>
        <c:barDir val="col"/>
        <c:grouping val="stacked"/>
        <c:varyColors val="0"/>
        <c:ser>
          <c:idx val="0"/>
          <c:order val="0"/>
          <c:tx>
            <c:strRef>
              <c:f>'Ch4. Grants technology'!$B$8</c:f>
              <c:strCache>
                <c:ptCount val="1"/>
                <c:pt idx="0">
                  <c:v>Electrical engineering</c:v>
                </c:pt>
              </c:strCache>
            </c:strRef>
          </c:tx>
          <c:spPr>
            <a:solidFill>
              <a:srgbClr val="D0C094">
                <a:alpha val="96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technology'!$L$46:$AX$47</c:f>
              <c:multiLvlStrCache>
                <c:ptCount val="39"/>
                <c:lvl>
                  <c:pt idx="0">
                    <c:v>2016</c:v>
                  </c:pt>
                  <c:pt idx="1">
                    <c:v>2017</c:v>
                  </c:pt>
                  <c:pt idx="2">
                    <c:v>2018</c:v>
                  </c:pt>
                  <c:pt idx="3">
                    <c:v>2019</c:v>
                  </c:pt>
                  <c:pt idx="4">
                    <c:v>2020</c:v>
                  </c:pt>
                  <c:pt idx="5">
                    <c:v>2021</c:v>
                  </c:pt>
                  <c:pt idx="6">
                    <c:v>2022</c:v>
                  </c:pt>
                  <c:pt idx="8">
                    <c:v>2016</c:v>
                  </c:pt>
                  <c:pt idx="9">
                    <c:v>2017</c:v>
                  </c:pt>
                  <c:pt idx="10">
                    <c:v>2018</c:v>
                  </c:pt>
                  <c:pt idx="11">
                    <c:v>2019</c:v>
                  </c:pt>
                  <c:pt idx="12">
                    <c:v>2020</c:v>
                  </c:pt>
                  <c:pt idx="13">
                    <c:v>2021</c:v>
                  </c:pt>
                  <c:pt idx="14">
                    <c:v>2022</c:v>
                  </c:pt>
                  <c:pt idx="16">
                    <c:v>2016</c:v>
                  </c:pt>
                  <c:pt idx="17">
                    <c:v>2017</c:v>
                  </c:pt>
                  <c:pt idx="18">
                    <c:v>2018</c:v>
                  </c:pt>
                  <c:pt idx="19">
                    <c:v>2019</c:v>
                  </c:pt>
                  <c:pt idx="20">
                    <c:v>2020</c:v>
                  </c:pt>
                  <c:pt idx="21">
                    <c:v>2021</c:v>
                  </c:pt>
                  <c:pt idx="22">
                    <c:v>2022</c:v>
                  </c:pt>
                  <c:pt idx="24">
                    <c:v>2016</c:v>
                  </c:pt>
                  <c:pt idx="25">
                    <c:v>2017</c:v>
                  </c:pt>
                  <c:pt idx="26">
                    <c:v>2018</c:v>
                  </c:pt>
                  <c:pt idx="27">
                    <c:v>2019</c:v>
                  </c:pt>
                  <c:pt idx="28">
                    <c:v>2020</c:v>
                  </c:pt>
                  <c:pt idx="29">
                    <c:v>2021</c:v>
                  </c:pt>
                  <c:pt idx="30">
                    <c:v>2022</c:v>
                  </c:pt>
                  <c:pt idx="32">
                    <c:v>2016</c:v>
                  </c:pt>
                  <c:pt idx="33">
                    <c:v>2017</c:v>
                  </c:pt>
                  <c:pt idx="34">
                    <c:v>2018</c:v>
                  </c:pt>
                  <c:pt idx="35">
                    <c:v>2019</c:v>
                  </c:pt>
                  <c:pt idx="36">
                    <c:v>2020</c:v>
                  </c:pt>
                  <c:pt idx="37">
                    <c:v>2021</c:v>
                  </c:pt>
                  <c:pt idx="38">
                    <c:v>2022</c:v>
                  </c:pt>
                </c:lvl>
                <c:lvl>
                  <c:pt idx="0">
                    <c:v>EPO</c:v>
                  </c:pt>
                  <c:pt idx="8">
                    <c:v>JPO</c:v>
                  </c:pt>
                  <c:pt idx="16">
                    <c:v>KIPO</c:v>
                  </c:pt>
                  <c:pt idx="24">
                    <c:v>CNIPA</c:v>
                  </c:pt>
                  <c:pt idx="32">
                    <c:v>USPTO</c:v>
                  </c:pt>
                </c:lvl>
              </c:multiLvlStrCache>
            </c:multiLvlStrRef>
          </c:cat>
          <c:val>
            <c:numRef>
              <c:f>'Ch4. Grants technology'!$L$48:$AX$48</c:f>
              <c:numCache>
                <c:formatCode>0%</c:formatCode>
                <c:ptCount val="39"/>
                <c:pt idx="0">
                  <c:v>0.23847003878070139</c:v>
                </c:pt>
                <c:pt idx="1">
                  <c:v>0.2633547666171081</c:v>
                </c:pt>
                <c:pt idx="2">
                  <c:v>0.29230286878821132</c:v>
                </c:pt>
                <c:pt idx="3">
                  <c:v>0.29702783365163277</c:v>
                </c:pt>
                <c:pt idx="4">
                  <c:v>0.2946900402700639</c:v>
                </c:pt>
                <c:pt idx="5">
                  <c:v>0.29451462827090347</c:v>
                </c:pt>
                <c:pt idx="6">
                  <c:v>0.29062767649577881</c:v>
                </c:pt>
                <c:pt idx="8">
                  <c:v>0.31250801732729444</c:v>
                </c:pt>
                <c:pt idx="9">
                  <c:v>0.31953883373319814</c:v>
                </c:pt>
                <c:pt idx="10">
                  <c:v>0.31572608042166816</c:v>
                </c:pt>
                <c:pt idx="11">
                  <c:v>0.31219257050012239</c:v>
                </c:pt>
                <c:pt idx="12">
                  <c:v>0.29888897564893413</c:v>
                </c:pt>
                <c:pt idx="13">
                  <c:v>0.29308434964867885</c:v>
                </c:pt>
                <c:pt idx="14">
                  <c:v>0.37476524727287258</c:v>
                </c:pt>
                <c:pt idx="16">
                  <c:v>0.35633651452663295</c:v>
                </c:pt>
                <c:pt idx="17">
                  <c:v>0.33186918831115014</c:v>
                </c:pt>
                <c:pt idx="18">
                  <c:v>0.31796793600645312</c:v>
                </c:pt>
                <c:pt idx="19">
                  <c:v>0.3295692378701427</c:v>
                </c:pt>
                <c:pt idx="20">
                  <c:v>0.34291290088004395</c:v>
                </c:pt>
                <c:pt idx="21">
                  <c:v>0.34804156784250284</c:v>
                </c:pt>
                <c:pt idx="22">
                  <c:v>0.36559402278443559</c:v>
                </c:pt>
                <c:pt idx="24">
                  <c:v>0.26644153338033916</c:v>
                </c:pt>
                <c:pt idx="25">
                  <c:v>0.29683049133516448</c:v>
                </c:pt>
                <c:pt idx="26">
                  <c:v>0.32342910892098398</c:v>
                </c:pt>
                <c:pt idx="27">
                  <c:v>0.34879992226217083</c:v>
                </c:pt>
                <c:pt idx="28">
                  <c:v>0.34530600387833787</c:v>
                </c:pt>
                <c:pt idx="29">
                  <c:v>0.34005799300520445</c:v>
                </c:pt>
                <c:pt idx="30">
                  <c:v>0.34803537809999913</c:v>
                </c:pt>
                <c:pt idx="32">
                  <c:v>0.49416760985847175</c:v>
                </c:pt>
                <c:pt idx="33">
                  <c:v>0.48428306171352581</c:v>
                </c:pt>
                <c:pt idx="34">
                  <c:v>0.47636624761582924</c:v>
                </c:pt>
                <c:pt idx="35">
                  <c:v>0.47656236774539401</c:v>
                </c:pt>
                <c:pt idx="36">
                  <c:v>0.48085227272727271</c:v>
                </c:pt>
                <c:pt idx="37">
                  <c:v>0.47925099877593075</c:v>
                </c:pt>
                <c:pt idx="38">
                  <c:v>0.48021590575487083</c:v>
                </c:pt>
              </c:numCache>
            </c:numRef>
          </c:val>
          <c:extLst>
            <c:ext xmlns:c16="http://schemas.microsoft.com/office/drawing/2014/chart" uri="{C3380CC4-5D6E-409C-BE32-E72D297353CC}">
              <c16:uniqueId val="{00000000-1872-4D4E-80A8-CA2C205C3375}"/>
            </c:ext>
          </c:extLst>
        </c:ser>
        <c:ser>
          <c:idx val="1"/>
          <c:order val="1"/>
          <c:tx>
            <c:strRef>
              <c:f>'Ch4. Grants technology'!$B$9</c:f>
              <c:strCache>
                <c:ptCount val="1"/>
                <c:pt idx="0">
                  <c:v>Instruments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technology'!$L$46:$AX$47</c:f>
              <c:multiLvlStrCache>
                <c:ptCount val="39"/>
                <c:lvl>
                  <c:pt idx="0">
                    <c:v>2016</c:v>
                  </c:pt>
                  <c:pt idx="1">
                    <c:v>2017</c:v>
                  </c:pt>
                  <c:pt idx="2">
                    <c:v>2018</c:v>
                  </c:pt>
                  <c:pt idx="3">
                    <c:v>2019</c:v>
                  </c:pt>
                  <c:pt idx="4">
                    <c:v>2020</c:v>
                  </c:pt>
                  <c:pt idx="5">
                    <c:v>2021</c:v>
                  </c:pt>
                  <c:pt idx="6">
                    <c:v>2022</c:v>
                  </c:pt>
                  <c:pt idx="8">
                    <c:v>2016</c:v>
                  </c:pt>
                  <c:pt idx="9">
                    <c:v>2017</c:v>
                  </c:pt>
                  <c:pt idx="10">
                    <c:v>2018</c:v>
                  </c:pt>
                  <c:pt idx="11">
                    <c:v>2019</c:v>
                  </c:pt>
                  <c:pt idx="12">
                    <c:v>2020</c:v>
                  </c:pt>
                  <c:pt idx="13">
                    <c:v>2021</c:v>
                  </c:pt>
                  <c:pt idx="14">
                    <c:v>2022</c:v>
                  </c:pt>
                  <c:pt idx="16">
                    <c:v>2016</c:v>
                  </c:pt>
                  <c:pt idx="17">
                    <c:v>2017</c:v>
                  </c:pt>
                  <c:pt idx="18">
                    <c:v>2018</c:v>
                  </c:pt>
                  <c:pt idx="19">
                    <c:v>2019</c:v>
                  </c:pt>
                  <c:pt idx="20">
                    <c:v>2020</c:v>
                  </c:pt>
                  <c:pt idx="21">
                    <c:v>2021</c:v>
                  </c:pt>
                  <c:pt idx="22">
                    <c:v>2022</c:v>
                  </c:pt>
                  <c:pt idx="24">
                    <c:v>2016</c:v>
                  </c:pt>
                  <c:pt idx="25">
                    <c:v>2017</c:v>
                  </c:pt>
                  <c:pt idx="26">
                    <c:v>2018</c:v>
                  </c:pt>
                  <c:pt idx="27">
                    <c:v>2019</c:v>
                  </c:pt>
                  <c:pt idx="28">
                    <c:v>2020</c:v>
                  </c:pt>
                  <c:pt idx="29">
                    <c:v>2021</c:v>
                  </c:pt>
                  <c:pt idx="30">
                    <c:v>2022</c:v>
                  </c:pt>
                  <c:pt idx="32">
                    <c:v>2016</c:v>
                  </c:pt>
                  <c:pt idx="33">
                    <c:v>2017</c:v>
                  </c:pt>
                  <c:pt idx="34">
                    <c:v>2018</c:v>
                  </c:pt>
                  <c:pt idx="35">
                    <c:v>2019</c:v>
                  </c:pt>
                  <c:pt idx="36">
                    <c:v>2020</c:v>
                  </c:pt>
                  <c:pt idx="37">
                    <c:v>2021</c:v>
                  </c:pt>
                  <c:pt idx="38">
                    <c:v>2022</c:v>
                  </c:pt>
                </c:lvl>
                <c:lvl>
                  <c:pt idx="0">
                    <c:v>EPO</c:v>
                  </c:pt>
                  <c:pt idx="8">
                    <c:v>JPO</c:v>
                  </c:pt>
                  <c:pt idx="16">
                    <c:v>KIPO</c:v>
                  </c:pt>
                  <c:pt idx="24">
                    <c:v>CNIPA</c:v>
                  </c:pt>
                  <c:pt idx="32">
                    <c:v>USPTO</c:v>
                  </c:pt>
                </c:lvl>
              </c:multiLvlStrCache>
            </c:multiLvlStrRef>
          </c:cat>
          <c:val>
            <c:numRef>
              <c:f>'Ch4. Grants technology'!$L$49:$AX$49</c:f>
              <c:numCache>
                <c:formatCode>0%</c:formatCode>
                <c:ptCount val="39"/>
                <c:pt idx="0">
                  <c:v>0.17125015637379593</c:v>
                </c:pt>
                <c:pt idx="1">
                  <c:v>0.16600535989924148</c:v>
                </c:pt>
                <c:pt idx="2">
                  <c:v>0.16022887599937294</c:v>
                </c:pt>
                <c:pt idx="3">
                  <c:v>0.16866481254220797</c:v>
                </c:pt>
                <c:pt idx="4">
                  <c:v>0.17559394601715594</c:v>
                </c:pt>
                <c:pt idx="5">
                  <c:v>0.18051341461172102</c:v>
                </c:pt>
                <c:pt idx="6">
                  <c:v>0.19259757738896366</c:v>
                </c:pt>
                <c:pt idx="8">
                  <c:v>0.16458462844005012</c:v>
                </c:pt>
                <c:pt idx="9">
                  <c:v>0.16629189796922211</c:v>
                </c:pt>
                <c:pt idx="10">
                  <c:v>0.17291894006465028</c:v>
                </c:pt>
                <c:pt idx="11">
                  <c:v>0.17426383850074562</c:v>
                </c:pt>
                <c:pt idx="12">
                  <c:v>0.17648108692984707</c:v>
                </c:pt>
                <c:pt idx="13">
                  <c:v>0.17564969972089792</c:v>
                </c:pt>
                <c:pt idx="14">
                  <c:v>0.15801133916718835</c:v>
                </c:pt>
                <c:pt idx="16">
                  <c:v>0.12459928905381697</c:v>
                </c:pt>
                <c:pt idx="17">
                  <c:v>0.1319388042631483</c:v>
                </c:pt>
                <c:pt idx="18">
                  <c:v>0.1356669915638759</c:v>
                </c:pt>
                <c:pt idx="19">
                  <c:v>0.13898504707108808</c:v>
                </c:pt>
                <c:pt idx="20">
                  <c:v>0.14126708516984995</c:v>
                </c:pt>
                <c:pt idx="21">
                  <c:v>0.14755761505874612</c:v>
                </c:pt>
                <c:pt idx="22">
                  <c:v>0.14786950732356857</c:v>
                </c:pt>
                <c:pt idx="24">
                  <c:v>0.13999579421333233</c:v>
                </c:pt>
                <c:pt idx="25">
                  <c:v>0.15110991810694924</c:v>
                </c:pt>
                <c:pt idx="26">
                  <c:v>0.14651996830648187</c:v>
                </c:pt>
                <c:pt idx="27">
                  <c:v>0.15729543025238293</c:v>
                </c:pt>
                <c:pt idx="28">
                  <c:v>0.15546551372886344</c:v>
                </c:pt>
                <c:pt idx="29">
                  <c:v>0.15322740557457043</c:v>
                </c:pt>
                <c:pt idx="30">
                  <c:v>0.15406082818623981</c:v>
                </c:pt>
                <c:pt idx="32">
                  <c:v>0.16324422783114281</c:v>
                </c:pt>
                <c:pt idx="33">
                  <c:v>0.1667607612882181</c:v>
                </c:pt>
                <c:pt idx="34">
                  <c:v>0.16762791664906632</c:v>
                </c:pt>
                <c:pt idx="35">
                  <c:v>0.17443218689162882</c:v>
                </c:pt>
                <c:pt idx="36">
                  <c:v>0.17211931818181819</c:v>
                </c:pt>
                <c:pt idx="37">
                  <c:v>0.17273760006105668</c:v>
                </c:pt>
                <c:pt idx="38">
                  <c:v>0.17342510587462467</c:v>
                </c:pt>
              </c:numCache>
            </c:numRef>
          </c:val>
          <c:extLst>
            <c:ext xmlns:c16="http://schemas.microsoft.com/office/drawing/2014/chart" uri="{C3380CC4-5D6E-409C-BE32-E72D297353CC}">
              <c16:uniqueId val="{00000001-1872-4D4E-80A8-CA2C205C3375}"/>
            </c:ext>
          </c:extLst>
        </c:ser>
        <c:ser>
          <c:idx val="2"/>
          <c:order val="2"/>
          <c:tx>
            <c:strRef>
              <c:f>'Ch4. Grants technology'!$B$10</c:f>
              <c:strCache>
                <c:ptCount val="1"/>
                <c:pt idx="0">
                  <c:v>Chemistry</c:v>
                </c:pt>
              </c:strCache>
            </c:strRef>
          </c:tx>
          <c:spPr>
            <a:solidFill>
              <a:srgbClr val="FFFF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technology'!$L$46:$AX$47</c:f>
              <c:multiLvlStrCache>
                <c:ptCount val="39"/>
                <c:lvl>
                  <c:pt idx="0">
                    <c:v>2016</c:v>
                  </c:pt>
                  <c:pt idx="1">
                    <c:v>2017</c:v>
                  </c:pt>
                  <c:pt idx="2">
                    <c:v>2018</c:v>
                  </c:pt>
                  <c:pt idx="3">
                    <c:v>2019</c:v>
                  </c:pt>
                  <c:pt idx="4">
                    <c:v>2020</c:v>
                  </c:pt>
                  <c:pt idx="5">
                    <c:v>2021</c:v>
                  </c:pt>
                  <c:pt idx="6">
                    <c:v>2022</c:v>
                  </c:pt>
                  <c:pt idx="8">
                    <c:v>2016</c:v>
                  </c:pt>
                  <c:pt idx="9">
                    <c:v>2017</c:v>
                  </c:pt>
                  <c:pt idx="10">
                    <c:v>2018</c:v>
                  </c:pt>
                  <c:pt idx="11">
                    <c:v>2019</c:v>
                  </c:pt>
                  <c:pt idx="12">
                    <c:v>2020</c:v>
                  </c:pt>
                  <c:pt idx="13">
                    <c:v>2021</c:v>
                  </c:pt>
                  <c:pt idx="14">
                    <c:v>2022</c:v>
                  </c:pt>
                  <c:pt idx="16">
                    <c:v>2016</c:v>
                  </c:pt>
                  <c:pt idx="17">
                    <c:v>2017</c:v>
                  </c:pt>
                  <c:pt idx="18">
                    <c:v>2018</c:v>
                  </c:pt>
                  <c:pt idx="19">
                    <c:v>2019</c:v>
                  </c:pt>
                  <c:pt idx="20">
                    <c:v>2020</c:v>
                  </c:pt>
                  <c:pt idx="21">
                    <c:v>2021</c:v>
                  </c:pt>
                  <c:pt idx="22">
                    <c:v>2022</c:v>
                  </c:pt>
                  <c:pt idx="24">
                    <c:v>2016</c:v>
                  </c:pt>
                  <c:pt idx="25">
                    <c:v>2017</c:v>
                  </c:pt>
                  <c:pt idx="26">
                    <c:v>2018</c:v>
                  </c:pt>
                  <c:pt idx="27">
                    <c:v>2019</c:v>
                  </c:pt>
                  <c:pt idx="28">
                    <c:v>2020</c:v>
                  </c:pt>
                  <c:pt idx="29">
                    <c:v>2021</c:v>
                  </c:pt>
                  <c:pt idx="30">
                    <c:v>2022</c:v>
                  </c:pt>
                  <c:pt idx="32">
                    <c:v>2016</c:v>
                  </c:pt>
                  <c:pt idx="33">
                    <c:v>2017</c:v>
                  </c:pt>
                  <c:pt idx="34">
                    <c:v>2018</c:v>
                  </c:pt>
                  <c:pt idx="35">
                    <c:v>2019</c:v>
                  </c:pt>
                  <c:pt idx="36">
                    <c:v>2020</c:v>
                  </c:pt>
                  <c:pt idx="37">
                    <c:v>2021</c:v>
                  </c:pt>
                  <c:pt idx="38">
                    <c:v>2022</c:v>
                  </c:pt>
                </c:lvl>
                <c:lvl>
                  <c:pt idx="0">
                    <c:v>EPO</c:v>
                  </c:pt>
                  <c:pt idx="8">
                    <c:v>JPO</c:v>
                  </c:pt>
                  <c:pt idx="16">
                    <c:v>KIPO</c:v>
                  </c:pt>
                  <c:pt idx="24">
                    <c:v>CNIPA</c:v>
                  </c:pt>
                  <c:pt idx="32">
                    <c:v>USPTO</c:v>
                  </c:pt>
                </c:lvl>
              </c:multiLvlStrCache>
            </c:multiLvlStrRef>
          </c:cat>
          <c:val>
            <c:numRef>
              <c:f>'Ch4. Grants technology'!$L$50:$AX$50</c:f>
              <c:numCache>
                <c:formatCode>0%</c:formatCode>
                <c:ptCount val="39"/>
                <c:pt idx="0">
                  <c:v>0.24345315041074184</c:v>
                </c:pt>
                <c:pt idx="1">
                  <c:v>0.23836399965908769</c:v>
                </c:pt>
                <c:pt idx="2">
                  <c:v>0.22436118513873649</c:v>
                </c:pt>
                <c:pt idx="3">
                  <c:v>0.20960562337068209</c:v>
                </c:pt>
                <c:pt idx="4">
                  <c:v>0.20281740744621926</c:v>
                </c:pt>
                <c:pt idx="5">
                  <c:v>0.19453485592394401</c:v>
                </c:pt>
                <c:pt idx="6">
                  <c:v>0.18088829071332435</c:v>
                </c:pt>
                <c:pt idx="8">
                  <c:v>0.18272105621503212</c:v>
                </c:pt>
                <c:pt idx="9">
                  <c:v>0.17466898220183302</c:v>
                </c:pt>
                <c:pt idx="10">
                  <c:v>0.17048425950709301</c:v>
                </c:pt>
                <c:pt idx="11">
                  <c:v>0.17079725789579114</c:v>
                </c:pt>
                <c:pt idx="12">
                  <c:v>0.17751848918536037</c:v>
                </c:pt>
                <c:pt idx="13">
                  <c:v>0.18730791368469066</c:v>
                </c:pt>
                <c:pt idx="14">
                  <c:v>0.16452003889236672</c:v>
                </c:pt>
                <c:pt idx="16">
                  <c:v>0.20806657542551141</c:v>
                </c:pt>
                <c:pt idx="17">
                  <c:v>0.22777676484725928</c:v>
                </c:pt>
                <c:pt idx="18">
                  <c:v>0.22350687325647833</c:v>
                </c:pt>
                <c:pt idx="19">
                  <c:v>0.21358257534159364</c:v>
                </c:pt>
                <c:pt idx="20">
                  <c:v>0.20939999703189233</c:v>
                </c:pt>
                <c:pt idx="21">
                  <c:v>0.20908679617773268</c:v>
                </c:pt>
                <c:pt idx="22">
                  <c:v>0.19641958869655274</c:v>
                </c:pt>
                <c:pt idx="24">
                  <c:v>0.26630546381167974</c:v>
                </c:pt>
                <c:pt idx="25">
                  <c:v>0.21976216536426094</c:v>
                </c:pt>
                <c:pt idx="26">
                  <c:v>0.22102290366375216</c:v>
                </c:pt>
                <c:pt idx="27">
                  <c:v>0.2072375685727158</c:v>
                </c:pt>
                <c:pt idx="28">
                  <c:v>0.21324444846866017</c:v>
                </c:pt>
                <c:pt idx="29">
                  <c:v>0.225770390231426</c:v>
                </c:pt>
                <c:pt idx="30">
                  <c:v>0.22341663462128622</c:v>
                </c:pt>
                <c:pt idx="32">
                  <c:v>0.13757181181921074</c:v>
                </c:pt>
                <c:pt idx="33">
                  <c:v>0.13679162432408698</c:v>
                </c:pt>
                <c:pt idx="34">
                  <c:v>0.1353461637190139</c:v>
                </c:pt>
                <c:pt idx="35">
                  <c:v>0.12720142200152357</c:v>
                </c:pt>
                <c:pt idx="36">
                  <c:v>0.12742613636363637</c:v>
                </c:pt>
                <c:pt idx="37">
                  <c:v>0.12942550936838615</c:v>
                </c:pt>
                <c:pt idx="38">
                  <c:v>0.12446263359677245</c:v>
                </c:pt>
              </c:numCache>
            </c:numRef>
          </c:val>
          <c:extLst>
            <c:ext xmlns:c16="http://schemas.microsoft.com/office/drawing/2014/chart" uri="{C3380CC4-5D6E-409C-BE32-E72D297353CC}">
              <c16:uniqueId val="{00000002-1872-4D4E-80A8-CA2C205C3375}"/>
            </c:ext>
          </c:extLst>
        </c:ser>
        <c:ser>
          <c:idx val="3"/>
          <c:order val="3"/>
          <c:tx>
            <c:strRef>
              <c:f>'Ch4. Grants technology'!$B$11</c:f>
              <c:strCache>
                <c:ptCount val="1"/>
                <c:pt idx="0">
                  <c:v>Mechanical engineering</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technology'!$L$46:$AX$47</c:f>
              <c:multiLvlStrCache>
                <c:ptCount val="39"/>
                <c:lvl>
                  <c:pt idx="0">
                    <c:v>2016</c:v>
                  </c:pt>
                  <c:pt idx="1">
                    <c:v>2017</c:v>
                  </c:pt>
                  <c:pt idx="2">
                    <c:v>2018</c:v>
                  </c:pt>
                  <c:pt idx="3">
                    <c:v>2019</c:v>
                  </c:pt>
                  <c:pt idx="4">
                    <c:v>2020</c:v>
                  </c:pt>
                  <c:pt idx="5">
                    <c:v>2021</c:v>
                  </c:pt>
                  <c:pt idx="6">
                    <c:v>2022</c:v>
                  </c:pt>
                  <c:pt idx="8">
                    <c:v>2016</c:v>
                  </c:pt>
                  <c:pt idx="9">
                    <c:v>2017</c:v>
                  </c:pt>
                  <c:pt idx="10">
                    <c:v>2018</c:v>
                  </c:pt>
                  <c:pt idx="11">
                    <c:v>2019</c:v>
                  </c:pt>
                  <c:pt idx="12">
                    <c:v>2020</c:v>
                  </c:pt>
                  <c:pt idx="13">
                    <c:v>2021</c:v>
                  </c:pt>
                  <c:pt idx="14">
                    <c:v>2022</c:v>
                  </c:pt>
                  <c:pt idx="16">
                    <c:v>2016</c:v>
                  </c:pt>
                  <c:pt idx="17">
                    <c:v>2017</c:v>
                  </c:pt>
                  <c:pt idx="18">
                    <c:v>2018</c:v>
                  </c:pt>
                  <c:pt idx="19">
                    <c:v>2019</c:v>
                  </c:pt>
                  <c:pt idx="20">
                    <c:v>2020</c:v>
                  </c:pt>
                  <c:pt idx="21">
                    <c:v>2021</c:v>
                  </c:pt>
                  <c:pt idx="22">
                    <c:v>2022</c:v>
                  </c:pt>
                  <c:pt idx="24">
                    <c:v>2016</c:v>
                  </c:pt>
                  <c:pt idx="25">
                    <c:v>2017</c:v>
                  </c:pt>
                  <c:pt idx="26">
                    <c:v>2018</c:v>
                  </c:pt>
                  <c:pt idx="27">
                    <c:v>2019</c:v>
                  </c:pt>
                  <c:pt idx="28">
                    <c:v>2020</c:v>
                  </c:pt>
                  <c:pt idx="29">
                    <c:v>2021</c:v>
                  </c:pt>
                  <c:pt idx="30">
                    <c:v>2022</c:v>
                  </c:pt>
                  <c:pt idx="32">
                    <c:v>2016</c:v>
                  </c:pt>
                  <c:pt idx="33">
                    <c:v>2017</c:v>
                  </c:pt>
                  <c:pt idx="34">
                    <c:v>2018</c:v>
                  </c:pt>
                  <c:pt idx="35">
                    <c:v>2019</c:v>
                  </c:pt>
                  <c:pt idx="36">
                    <c:v>2020</c:v>
                  </c:pt>
                  <c:pt idx="37">
                    <c:v>2021</c:v>
                  </c:pt>
                  <c:pt idx="38">
                    <c:v>2022</c:v>
                  </c:pt>
                </c:lvl>
                <c:lvl>
                  <c:pt idx="0">
                    <c:v>EPO</c:v>
                  </c:pt>
                  <c:pt idx="8">
                    <c:v>JPO</c:v>
                  </c:pt>
                  <c:pt idx="16">
                    <c:v>KIPO</c:v>
                  </c:pt>
                  <c:pt idx="24">
                    <c:v>CNIPA</c:v>
                  </c:pt>
                  <c:pt idx="32">
                    <c:v>USPTO</c:v>
                  </c:pt>
                </c:lvl>
              </c:multiLvlStrCache>
            </c:multiLvlStrRef>
          </c:cat>
          <c:val>
            <c:numRef>
              <c:f>'Ch4. Grants technology'!$L$51:$AX$51</c:f>
              <c:numCache>
                <c:formatCode>0%</c:formatCode>
                <c:ptCount val="39"/>
                <c:pt idx="0">
                  <c:v>0.26445936366289979</c:v>
                </c:pt>
                <c:pt idx="1">
                  <c:v>0.25177321754940862</c:v>
                </c:pt>
                <c:pt idx="2">
                  <c:v>0.24779746041699327</c:v>
                </c:pt>
                <c:pt idx="3">
                  <c:v>0.25321143554254927</c:v>
                </c:pt>
                <c:pt idx="4">
                  <c:v>0.25450979805086904</c:v>
                </c:pt>
                <c:pt idx="5">
                  <c:v>0.25778304922675199</c:v>
                </c:pt>
                <c:pt idx="6">
                  <c:v>0.2586932582894898</c:v>
                </c:pt>
                <c:pt idx="8">
                  <c:v>0.23227553950445518</c:v>
                </c:pt>
                <c:pt idx="9">
                  <c:v>0.22942369274320648</c:v>
                </c:pt>
                <c:pt idx="10">
                  <c:v>0.22862319586567564</c:v>
                </c:pt>
                <c:pt idx="11">
                  <c:v>0.23217187117451979</c:v>
                </c:pt>
                <c:pt idx="12">
                  <c:v>0.22849063549254298</c:v>
                </c:pt>
                <c:pt idx="13">
                  <c:v>0.22371064606161967</c:v>
                </c:pt>
                <c:pt idx="14">
                  <c:v>0.1936093981006673</c:v>
                </c:pt>
                <c:pt idx="16">
                  <c:v>0.21422994608198845</c:v>
                </c:pt>
                <c:pt idx="17">
                  <c:v>0.21049709104772008</c:v>
                </c:pt>
                <c:pt idx="18">
                  <c:v>0.21991899976472962</c:v>
                </c:pt>
                <c:pt idx="19">
                  <c:v>0.2150468323505304</c:v>
                </c:pt>
                <c:pt idx="20">
                  <c:v>0.20389415728002611</c:v>
                </c:pt>
                <c:pt idx="21">
                  <c:v>0.19321780617211171</c:v>
                </c:pt>
                <c:pt idx="22">
                  <c:v>0.19349755881047492</c:v>
                </c:pt>
                <c:pt idx="24">
                  <c:v>0.25265892307121385</c:v>
                </c:pt>
                <c:pt idx="25">
                  <c:v>0.25792724268712874</c:v>
                </c:pt>
                <c:pt idx="26">
                  <c:v>0.237191694815515</c:v>
                </c:pt>
                <c:pt idx="27">
                  <c:v>0.22249140908649218</c:v>
                </c:pt>
                <c:pt idx="28">
                  <c:v>0.21892047898227585</c:v>
                </c:pt>
                <c:pt idx="29">
                  <c:v>0.21282973104235098</c:v>
                </c:pt>
                <c:pt idx="30">
                  <c:v>0.21145942804319426</c:v>
                </c:pt>
                <c:pt idx="32">
                  <c:v>0.14782757903837332</c:v>
                </c:pt>
                <c:pt idx="33">
                  <c:v>0.15426185905880285</c:v>
                </c:pt>
                <c:pt idx="34">
                  <c:v>0.16105134212159514</c:v>
                </c:pt>
                <c:pt idx="35">
                  <c:v>0.16177242332759642</c:v>
                </c:pt>
                <c:pt idx="36">
                  <c:v>0.16038352272727271</c:v>
                </c:pt>
                <c:pt idx="37">
                  <c:v>0.16007420736378927</c:v>
                </c:pt>
                <c:pt idx="38">
                  <c:v>0.16395524925953162</c:v>
                </c:pt>
              </c:numCache>
            </c:numRef>
          </c:val>
          <c:extLst>
            <c:ext xmlns:c16="http://schemas.microsoft.com/office/drawing/2014/chart" uri="{C3380CC4-5D6E-409C-BE32-E72D297353CC}">
              <c16:uniqueId val="{00000003-1872-4D4E-80A8-CA2C205C3375}"/>
            </c:ext>
          </c:extLst>
        </c:ser>
        <c:ser>
          <c:idx val="4"/>
          <c:order val="4"/>
          <c:tx>
            <c:strRef>
              <c:f>'Ch4. Grants technology'!$B$12</c:f>
              <c:strCache>
                <c:ptCount val="1"/>
                <c:pt idx="0">
                  <c:v>other field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technology'!$L$46:$AX$47</c:f>
              <c:multiLvlStrCache>
                <c:ptCount val="39"/>
                <c:lvl>
                  <c:pt idx="0">
                    <c:v>2016</c:v>
                  </c:pt>
                  <c:pt idx="1">
                    <c:v>2017</c:v>
                  </c:pt>
                  <c:pt idx="2">
                    <c:v>2018</c:v>
                  </c:pt>
                  <c:pt idx="3">
                    <c:v>2019</c:v>
                  </c:pt>
                  <c:pt idx="4">
                    <c:v>2020</c:v>
                  </c:pt>
                  <c:pt idx="5">
                    <c:v>2021</c:v>
                  </c:pt>
                  <c:pt idx="6">
                    <c:v>2022</c:v>
                  </c:pt>
                  <c:pt idx="8">
                    <c:v>2016</c:v>
                  </c:pt>
                  <c:pt idx="9">
                    <c:v>2017</c:v>
                  </c:pt>
                  <c:pt idx="10">
                    <c:v>2018</c:v>
                  </c:pt>
                  <c:pt idx="11">
                    <c:v>2019</c:v>
                  </c:pt>
                  <c:pt idx="12">
                    <c:v>2020</c:v>
                  </c:pt>
                  <c:pt idx="13">
                    <c:v>2021</c:v>
                  </c:pt>
                  <c:pt idx="14">
                    <c:v>2022</c:v>
                  </c:pt>
                  <c:pt idx="16">
                    <c:v>2016</c:v>
                  </c:pt>
                  <c:pt idx="17">
                    <c:v>2017</c:v>
                  </c:pt>
                  <c:pt idx="18">
                    <c:v>2018</c:v>
                  </c:pt>
                  <c:pt idx="19">
                    <c:v>2019</c:v>
                  </c:pt>
                  <c:pt idx="20">
                    <c:v>2020</c:v>
                  </c:pt>
                  <c:pt idx="21">
                    <c:v>2021</c:v>
                  </c:pt>
                  <c:pt idx="22">
                    <c:v>2022</c:v>
                  </c:pt>
                  <c:pt idx="24">
                    <c:v>2016</c:v>
                  </c:pt>
                  <c:pt idx="25">
                    <c:v>2017</c:v>
                  </c:pt>
                  <c:pt idx="26">
                    <c:v>2018</c:v>
                  </c:pt>
                  <c:pt idx="27">
                    <c:v>2019</c:v>
                  </c:pt>
                  <c:pt idx="28">
                    <c:v>2020</c:v>
                  </c:pt>
                  <c:pt idx="29">
                    <c:v>2021</c:v>
                  </c:pt>
                  <c:pt idx="30">
                    <c:v>2022</c:v>
                  </c:pt>
                  <c:pt idx="32">
                    <c:v>2016</c:v>
                  </c:pt>
                  <c:pt idx="33">
                    <c:v>2017</c:v>
                  </c:pt>
                  <c:pt idx="34">
                    <c:v>2018</c:v>
                  </c:pt>
                  <c:pt idx="35">
                    <c:v>2019</c:v>
                  </c:pt>
                  <c:pt idx="36">
                    <c:v>2020</c:v>
                  </c:pt>
                  <c:pt idx="37">
                    <c:v>2021</c:v>
                  </c:pt>
                  <c:pt idx="38">
                    <c:v>2022</c:v>
                  </c:pt>
                </c:lvl>
                <c:lvl>
                  <c:pt idx="0">
                    <c:v>EPO</c:v>
                  </c:pt>
                  <c:pt idx="8">
                    <c:v>JPO</c:v>
                  </c:pt>
                  <c:pt idx="16">
                    <c:v>KIPO</c:v>
                  </c:pt>
                  <c:pt idx="24">
                    <c:v>CNIPA</c:v>
                  </c:pt>
                  <c:pt idx="32">
                    <c:v>USPTO</c:v>
                  </c:pt>
                </c:lvl>
              </c:multiLvlStrCache>
            </c:multiLvlStrRef>
          </c:cat>
          <c:val>
            <c:numRef>
              <c:f>'Ch4. Grants technology'!$L$52:$AX$52</c:f>
              <c:numCache>
                <c:formatCode>0%</c:formatCode>
                <c:ptCount val="39"/>
                <c:pt idx="0">
                  <c:v>8.2367290771861057E-2</c:v>
                </c:pt>
                <c:pt idx="1">
                  <c:v>8.0502656275154127E-2</c:v>
                </c:pt>
                <c:pt idx="2">
                  <c:v>7.5309609656685997E-2</c:v>
                </c:pt>
                <c:pt idx="3">
                  <c:v>7.149029489292795E-2</c:v>
                </c:pt>
                <c:pt idx="4">
                  <c:v>7.2388808215691852E-2</c:v>
                </c:pt>
                <c:pt idx="5">
                  <c:v>7.2654051966679539E-2</c:v>
                </c:pt>
                <c:pt idx="6">
                  <c:v>7.7193197112443407E-2</c:v>
                </c:pt>
                <c:pt idx="8">
                  <c:v>0.10791075851316816</c:v>
                </c:pt>
                <c:pt idx="9">
                  <c:v>0.11007659335254023</c:v>
                </c:pt>
                <c:pt idx="10">
                  <c:v>0.11224752414091292</c:v>
                </c:pt>
                <c:pt idx="11">
                  <c:v>0.11057446192882103</c:v>
                </c:pt>
                <c:pt idx="12">
                  <c:v>0.11862081274331544</c:v>
                </c:pt>
                <c:pt idx="13">
                  <c:v>0.1202473908841129</c:v>
                </c:pt>
                <c:pt idx="14">
                  <c:v>0.10909397656690509</c:v>
                </c:pt>
                <c:pt idx="16">
                  <c:v>9.6767674912050267E-2</c:v>
                </c:pt>
                <c:pt idx="17">
                  <c:v>9.7918151530722183E-2</c:v>
                </c:pt>
                <c:pt idx="18">
                  <c:v>0.10293919940846301</c:v>
                </c:pt>
                <c:pt idx="19">
                  <c:v>0.10281630736664518</c:v>
                </c:pt>
                <c:pt idx="20">
                  <c:v>0.10252585963818768</c:v>
                </c:pt>
                <c:pt idx="21">
                  <c:v>0.10209621474890665</c:v>
                </c:pt>
                <c:pt idx="22">
                  <c:v>9.661932238496819E-2</c:v>
                </c:pt>
                <c:pt idx="24">
                  <c:v>7.4598285523434893E-2</c:v>
                </c:pt>
                <c:pt idx="25">
                  <c:v>7.4370182506496602E-2</c:v>
                </c:pt>
                <c:pt idx="26">
                  <c:v>7.1836324293266987E-2</c:v>
                </c:pt>
                <c:pt idx="27">
                  <c:v>6.4175669826238291E-2</c:v>
                </c:pt>
                <c:pt idx="28">
                  <c:v>6.7063554941862655E-2</c:v>
                </c:pt>
                <c:pt idx="29">
                  <c:v>6.811448014644815E-2</c:v>
                </c:pt>
                <c:pt idx="30">
                  <c:v>6.3027731049280569E-2</c:v>
                </c:pt>
                <c:pt idx="32">
                  <c:v>5.7188771452801365E-2</c:v>
                </c:pt>
                <c:pt idx="33">
                  <c:v>5.7902693615366277E-2</c:v>
                </c:pt>
                <c:pt idx="34">
                  <c:v>5.9608329894495368E-2</c:v>
                </c:pt>
                <c:pt idx="35">
                  <c:v>6.0031600033857178E-2</c:v>
                </c:pt>
                <c:pt idx="36">
                  <c:v>5.9218750000000001E-2</c:v>
                </c:pt>
                <c:pt idx="37">
                  <c:v>5.8511684430837152E-2</c:v>
                </c:pt>
                <c:pt idx="38">
                  <c:v>5.7941105514200425E-2</c:v>
                </c:pt>
              </c:numCache>
            </c:numRef>
          </c:val>
          <c:extLst>
            <c:ext xmlns:c16="http://schemas.microsoft.com/office/drawing/2014/chart" uri="{C3380CC4-5D6E-409C-BE32-E72D297353CC}">
              <c16:uniqueId val="{00000004-1872-4D4E-80A8-CA2C205C3375}"/>
            </c:ext>
          </c:extLst>
        </c:ser>
        <c:dLbls>
          <c:showLegendKey val="0"/>
          <c:showVal val="0"/>
          <c:showCatName val="0"/>
          <c:showSerName val="0"/>
          <c:showPercent val="0"/>
          <c:showBubbleSize val="0"/>
        </c:dLbls>
        <c:gapWidth val="4"/>
        <c:overlap val="100"/>
        <c:axId val="621250136"/>
        <c:axId val="621254728"/>
      </c:barChart>
      <c:catAx>
        <c:axId val="621250136"/>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21254728"/>
        <c:crosses val="autoZero"/>
        <c:auto val="1"/>
        <c:lblAlgn val="ctr"/>
        <c:lblOffset val="100"/>
        <c:noMultiLvlLbl val="0"/>
      </c:catAx>
      <c:valAx>
        <c:axId val="621254728"/>
        <c:scaling>
          <c:orientation val="minMax"/>
          <c:max val="1"/>
          <c:min val="0"/>
        </c:scaling>
        <c:delete val="1"/>
        <c:axPos val="l"/>
        <c:numFmt formatCode="0%" sourceLinked="1"/>
        <c:majorTickMark val="out"/>
        <c:minorTickMark val="none"/>
        <c:tickLblPos val="nextTo"/>
        <c:crossAx val="621250136"/>
        <c:crosses val="autoZero"/>
        <c:crossBetween val="between"/>
      </c:valAx>
      <c:spPr>
        <a:noFill/>
        <a:ln>
          <a:noFill/>
        </a:ln>
        <a:effectLst/>
      </c:spPr>
    </c:plotArea>
    <c:legend>
      <c:legendPos val="t"/>
      <c:layout>
        <c:manualLayout>
          <c:xMode val="edge"/>
          <c:yMode val="edge"/>
          <c:x val="0.20828686884491152"/>
          <c:y val="1.7314285714285723E-2"/>
          <c:w val="0.32038635107388336"/>
          <c:h val="3.905436820397450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EPO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Grants leading Tech'!$R$150</c:f>
              <c:strCache>
                <c:ptCount val="1"/>
                <c:pt idx="0">
                  <c:v>Other special machines</c:v>
                </c:pt>
              </c:strCache>
            </c:strRef>
          </c:tx>
          <c:spPr>
            <a:ln w="28575"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E4-4E62-B933-DA61A21AFDA7}"/>
                </c:ext>
              </c:extLst>
            </c:dLbl>
            <c:dLbl>
              <c:idx val="5"/>
              <c:layout>
                <c:manualLayout>
                  <c:x val="0.11023632136504802"/>
                  <c:y val="0"/>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6351115192281427"/>
                      <c:h val="0.11173854501472451"/>
                    </c:manualLayout>
                  </c15:layout>
                </c:ext>
                <c:ext xmlns:c16="http://schemas.microsoft.com/office/drawing/2014/chart" uri="{C3380CC4-5D6E-409C-BE32-E72D297353CC}">
                  <c16:uniqueId val="{00000001-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Tech'!$S$150:$Y$150</c:f>
              <c:numCache>
                <c:formatCode>General</c:formatCode>
                <c:ptCount val="7"/>
                <c:pt idx="0">
                  <c:v>10</c:v>
                </c:pt>
                <c:pt idx="1">
                  <c:v>10</c:v>
                </c:pt>
                <c:pt idx="2">
                  <c:v>8</c:v>
                </c:pt>
                <c:pt idx="3">
                  <c:v>8</c:v>
                </c:pt>
                <c:pt idx="4">
                  <c:v>8</c:v>
                </c:pt>
                <c:pt idx="5">
                  <c:v>8</c:v>
                </c:pt>
                <c:pt idx="6">
                  <c:v>8</c:v>
                </c:pt>
              </c:numCache>
            </c:numRef>
          </c:val>
          <c:smooth val="0"/>
          <c:extLst>
            <c:ext xmlns:c16="http://schemas.microsoft.com/office/drawing/2014/chart" uri="{C3380CC4-5D6E-409C-BE32-E72D297353CC}">
              <c16:uniqueId val="{00000002-4FE4-4E62-B933-DA61A21AFDA7}"/>
            </c:ext>
          </c:extLst>
        </c:ser>
        <c:ser>
          <c:idx val="1"/>
          <c:order val="1"/>
          <c:tx>
            <c:strRef>
              <c:f>'Ch4. Grants leading Tech'!$R$151</c:f>
              <c:strCache>
                <c:ptCount val="1"/>
                <c:pt idx="0">
                  <c:v>Engines, pumps, turbines</c:v>
                </c:pt>
              </c:strCache>
            </c:strRef>
          </c:tx>
          <c:spPr>
            <a:ln w="28575"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E4-4E62-B933-DA61A21AFDA7}"/>
                </c:ext>
              </c:extLst>
            </c:dLbl>
            <c:dLbl>
              <c:idx val="5"/>
              <c:layout>
                <c:manualLayout>
                  <c:x val="0.11023640403189353"/>
                  <c:y val="-7.4333651439981979E-3"/>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262277101250685"/>
                      <c:h val="6.4314316291654919E-2"/>
                    </c:manualLayout>
                  </c15:layout>
                </c:ext>
                <c:ext xmlns:c16="http://schemas.microsoft.com/office/drawing/2014/chart" uri="{C3380CC4-5D6E-409C-BE32-E72D297353CC}">
                  <c16:uniqueId val="{00000004-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Tech'!$S$151:$Y$151</c:f>
              <c:numCache>
                <c:formatCode>General</c:formatCode>
                <c:ptCount val="7"/>
                <c:pt idx="0">
                  <c:v>7</c:v>
                </c:pt>
                <c:pt idx="1">
                  <c:v>7</c:v>
                </c:pt>
                <c:pt idx="2">
                  <c:v>7</c:v>
                </c:pt>
                <c:pt idx="3">
                  <c:v>7</c:v>
                </c:pt>
                <c:pt idx="4">
                  <c:v>7</c:v>
                </c:pt>
                <c:pt idx="5">
                  <c:v>7</c:v>
                </c:pt>
                <c:pt idx="6">
                  <c:v>7</c:v>
                </c:pt>
              </c:numCache>
            </c:numRef>
          </c:val>
          <c:smooth val="0"/>
          <c:extLst>
            <c:ext xmlns:c16="http://schemas.microsoft.com/office/drawing/2014/chart" uri="{C3380CC4-5D6E-409C-BE32-E72D297353CC}">
              <c16:uniqueId val="{00000005-4FE4-4E62-B933-DA61A21AFDA7}"/>
            </c:ext>
          </c:extLst>
        </c:ser>
        <c:ser>
          <c:idx val="2"/>
          <c:order val="2"/>
          <c:tx>
            <c:strRef>
              <c:f>'Ch4. Grants leading Tech'!$R$152</c:f>
              <c:strCache>
                <c:ptCount val="1"/>
                <c:pt idx="0">
                  <c:v>Civil engineering</c:v>
                </c:pt>
              </c:strCache>
            </c:strRef>
          </c:tx>
          <c:spPr>
            <a:ln w="28575"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E4-4E62-B933-DA61A21AFDA7}"/>
                </c:ext>
              </c:extLst>
            </c:dLbl>
            <c:dLbl>
              <c:idx val="5"/>
              <c:layout>
                <c:manualLayout>
                  <c:x val="0.10918636975821931"/>
                  <c:y val="-0.13993707516886431"/>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Tech'!$S$152:$Y$152</c:f>
              <c:numCache>
                <c:formatCode>General</c:formatCode>
                <c:ptCount val="7"/>
                <c:pt idx="0">
                  <c:v>9</c:v>
                </c:pt>
                <c:pt idx="1">
                  <c:v>9</c:v>
                </c:pt>
                <c:pt idx="2">
                  <c:v>11</c:v>
                </c:pt>
                <c:pt idx="3">
                  <c:v>10</c:v>
                </c:pt>
                <c:pt idx="4">
                  <c:v>9</c:v>
                </c:pt>
                <c:pt idx="5">
                  <c:v>11</c:v>
                </c:pt>
                <c:pt idx="6">
                  <c:v>9</c:v>
                </c:pt>
              </c:numCache>
            </c:numRef>
          </c:val>
          <c:smooth val="0"/>
          <c:extLst>
            <c:ext xmlns:c16="http://schemas.microsoft.com/office/drawing/2014/chart" uri="{C3380CC4-5D6E-409C-BE32-E72D297353CC}">
              <c16:uniqueId val="{00000008-4FE4-4E62-B933-DA61A21AFDA7}"/>
            </c:ext>
          </c:extLst>
        </c:ser>
        <c:ser>
          <c:idx val="3"/>
          <c:order val="3"/>
          <c:tx>
            <c:strRef>
              <c:f>'Ch4. Grants leading Tech'!$R$153</c:f>
              <c:strCache>
                <c:ptCount val="1"/>
                <c:pt idx="0">
                  <c:v>Measurement</c:v>
                </c:pt>
              </c:strCache>
            </c:strRef>
          </c:tx>
          <c:spPr>
            <a:ln w="28575"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E4-4E62-B933-DA61A21AFDA7}"/>
                </c:ext>
              </c:extLst>
            </c:dLbl>
            <c:dLbl>
              <c:idx val="5"/>
              <c:layout>
                <c:manualLayout>
                  <c:x val="0.11128610763818507"/>
                  <c:y val="-1.3627410413112527E-16"/>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Tech'!$S$153:$Y$153</c:f>
              <c:numCache>
                <c:formatCode>General</c:formatCode>
                <c:ptCount val="7"/>
                <c:pt idx="0">
                  <c:v>5</c:v>
                </c:pt>
                <c:pt idx="1">
                  <c:v>5</c:v>
                </c:pt>
                <c:pt idx="2">
                  <c:v>6</c:v>
                </c:pt>
                <c:pt idx="3">
                  <c:v>6</c:v>
                </c:pt>
                <c:pt idx="4">
                  <c:v>6</c:v>
                </c:pt>
                <c:pt idx="5">
                  <c:v>6</c:v>
                </c:pt>
                <c:pt idx="6">
                  <c:v>6</c:v>
                </c:pt>
              </c:numCache>
            </c:numRef>
          </c:val>
          <c:smooth val="0"/>
          <c:extLst>
            <c:ext xmlns:c16="http://schemas.microsoft.com/office/drawing/2014/chart" uri="{C3380CC4-5D6E-409C-BE32-E72D297353CC}">
              <c16:uniqueId val="{0000000B-4FE4-4E62-B933-DA61A21AFDA7}"/>
            </c:ext>
          </c:extLst>
        </c:ser>
        <c:ser>
          <c:idx val="4"/>
          <c:order val="4"/>
          <c:tx>
            <c:strRef>
              <c:f>'Ch4. Grants leading Tech'!$R$154</c:f>
              <c:strCache>
                <c:ptCount val="1"/>
                <c:pt idx="0">
                  <c:v>Organic fine chemistry</c:v>
                </c:pt>
              </c:strCache>
            </c:strRef>
          </c:tx>
          <c:spPr>
            <a:ln w="28575"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Tech'!$S$154</c:f>
              <c:numCache>
                <c:formatCode>General</c:formatCode>
                <c:ptCount val="1"/>
                <c:pt idx="0">
                  <c:v>8</c:v>
                </c:pt>
              </c:numCache>
            </c:numRef>
          </c:val>
          <c:smooth val="0"/>
          <c:extLst>
            <c:ext xmlns:c16="http://schemas.microsoft.com/office/drawing/2014/chart" uri="{C3380CC4-5D6E-409C-BE32-E72D297353CC}">
              <c16:uniqueId val="{0000000E-4FE4-4E62-B933-DA61A21AFDA7}"/>
            </c:ext>
          </c:extLst>
        </c:ser>
        <c:ser>
          <c:idx val="5"/>
          <c:order val="5"/>
          <c:tx>
            <c:strRef>
              <c:f>'Ch4. Grants leading Tech'!$R$155</c:f>
              <c:strCache>
                <c:ptCount val="1"/>
                <c:pt idx="0">
                  <c:v>Computer technology</c:v>
                </c:pt>
              </c:strCache>
            </c:strRef>
          </c:tx>
          <c:spPr>
            <a:ln w="28575"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FE4-4E62-B933-DA61A21AFDA7}"/>
                </c:ext>
              </c:extLst>
            </c:dLbl>
            <c:dLbl>
              <c:idx val="5"/>
              <c:layout>
                <c:manualLayout>
                  <c:x val="0.10918645242506499"/>
                  <c:y val="3.7166094103964977E-3"/>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805769947427188"/>
                      <c:h val="6.4314394493965824E-2"/>
                    </c:manualLayout>
                  </c15:layout>
                </c:ext>
                <c:ext xmlns:c16="http://schemas.microsoft.com/office/drawing/2014/chart" uri="{C3380CC4-5D6E-409C-BE32-E72D297353CC}">
                  <c16:uniqueId val="{00000010-4FE4-4E62-B933-DA61A21AFDA7}"/>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Tech'!$S$155:$Y$155</c:f>
              <c:numCache>
                <c:formatCode>General</c:formatCode>
                <c:ptCount val="7"/>
                <c:pt idx="0">
                  <c:v>6</c:v>
                </c:pt>
                <c:pt idx="1">
                  <c:v>6</c:v>
                </c:pt>
                <c:pt idx="2">
                  <c:v>5</c:v>
                </c:pt>
                <c:pt idx="3">
                  <c:v>5</c:v>
                </c:pt>
                <c:pt idx="4">
                  <c:v>5</c:v>
                </c:pt>
                <c:pt idx="5">
                  <c:v>5</c:v>
                </c:pt>
                <c:pt idx="6">
                  <c:v>5</c:v>
                </c:pt>
              </c:numCache>
            </c:numRef>
          </c:val>
          <c:smooth val="0"/>
          <c:extLst>
            <c:ext xmlns:c16="http://schemas.microsoft.com/office/drawing/2014/chart" uri="{C3380CC4-5D6E-409C-BE32-E72D297353CC}">
              <c16:uniqueId val="{00000011-4FE4-4E62-B933-DA61A21AFDA7}"/>
            </c:ext>
          </c:extLst>
        </c:ser>
        <c:ser>
          <c:idx val="6"/>
          <c:order val="6"/>
          <c:tx>
            <c:strRef>
              <c:f>'Ch4. Grants leading Tech'!$R$156</c:f>
              <c:strCache>
                <c:ptCount val="1"/>
                <c:pt idx="0">
                  <c:v>Transport</c:v>
                </c:pt>
              </c:strCache>
            </c:strRef>
          </c:tx>
          <c:spPr>
            <a:ln w="28575"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FE4-4E62-B933-DA61A21AFDA7}"/>
                </c:ext>
              </c:extLst>
            </c:dLbl>
            <c:dLbl>
              <c:idx val="5"/>
              <c:layout>
                <c:manualLayout>
                  <c:x val="0.10708663187825355"/>
                  <c:y val="0"/>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299741715707397"/>
                      <c:h val="6.4314394493965824E-2"/>
                    </c:manualLayout>
                  </c15:layout>
                </c:ext>
                <c:ext xmlns:c16="http://schemas.microsoft.com/office/drawing/2014/chart" uri="{C3380CC4-5D6E-409C-BE32-E72D297353CC}">
                  <c16:uniqueId val="{00000013-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Tech'!$S$156:$Y$156</c:f>
              <c:numCache>
                <c:formatCode>General</c:formatCode>
                <c:ptCount val="7"/>
                <c:pt idx="0">
                  <c:v>4</c:v>
                </c:pt>
                <c:pt idx="1">
                  <c:v>4</c:v>
                </c:pt>
                <c:pt idx="2">
                  <c:v>4</c:v>
                </c:pt>
                <c:pt idx="3">
                  <c:v>4</c:v>
                </c:pt>
                <c:pt idx="4">
                  <c:v>4</c:v>
                </c:pt>
                <c:pt idx="5">
                  <c:v>3</c:v>
                </c:pt>
                <c:pt idx="6">
                  <c:v>3</c:v>
                </c:pt>
              </c:numCache>
            </c:numRef>
          </c:val>
          <c:smooth val="0"/>
          <c:extLst>
            <c:ext xmlns:c16="http://schemas.microsoft.com/office/drawing/2014/chart" uri="{C3380CC4-5D6E-409C-BE32-E72D297353CC}">
              <c16:uniqueId val="{00000014-4FE4-4E62-B933-DA61A21AFDA7}"/>
            </c:ext>
          </c:extLst>
        </c:ser>
        <c:ser>
          <c:idx val="7"/>
          <c:order val="7"/>
          <c:tx>
            <c:strRef>
              <c:f>'Ch4. Grants leading Tech'!$R$157</c:f>
              <c:strCache>
                <c:ptCount val="1"/>
                <c:pt idx="0">
                  <c:v>Mechanical elements</c:v>
                </c:pt>
              </c:strCache>
            </c:strRef>
          </c:tx>
          <c:spPr>
            <a:ln w="28575" cap="rnd">
              <a:solidFill>
                <a:schemeClr val="accent2">
                  <a:lumMod val="60000"/>
                </a:schemeClr>
              </a:solidFill>
              <a:round/>
            </a:ln>
            <a:effectLst/>
          </c:spPr>
          <c:marker>
            <c:symbol val="none"/>
          </c:marker>
          <c:dLbls>
            <c:dLbl>
              <c:idx val="5"/>
              <c:layout>
                <c:manualLayout>
                  <c:x val="0.10708671454509923"/>
                  <c:y val="-1.3627410413112527E-16"/>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737063585051367"/>
                      <c:h val="0.11173862608627264"/>
                    </c:manualLayout>
                  </c15:layout>
                </c:ext>
                <c:ext xmlns:c16="http://schemas.microsoft.com/office/drawing/2014/chart" uri="{C3380CC4-5D6E-409C-BE32-E72D297353CC}">
                  <c16:uniqueId val="{00000015-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Tech'!$S$157:$Y$157</c:f>
              <c:numCache>
                <c:formatCode>General</c:formatCode>
                <c:ptCount val="7"/>
                <c:pt idx="0">
                  <c:v>11</c:v>
                </c:pt>
                <c:pt idx="1">
                  <c:v>11</c:v>
                </c:pt>
                <c:pt idx="2">
                  <c:v>11</c:v>
                </c:pt>
                <c:pt idx="3">
                  <c:v>11</c:v>
                </c:pt>
                <c:pt idx="4">
                  <c:v>10</c:v>
                </c:pt>
                <c:pt idx="5">
                  <c:v>10</c:v>
                </c:pt>
                <c:pt idx="6">
                  <c:v>10</c:v>
                </c:pt>
              </c:numCache>
            </c:numRef>
          </c:val>
          <c:smooth val="0"/>
          <c:extLst>
            <c:ext xmlns:c16="http://schemas.microsoft.com/office/drawing/2014/chart" uri="{C3380CC4-5D6E-409C-BE32-E72D297353CC}">
              <c16:uniqueId val="{00000016-4FE4-4E62-B933-DA61A21AFDA7}"/>
            </c:ext>
          </c:extLst>
        </c:ser>
        <c:ser>
          <c:idx val="8"/>
          <c:order val="8"/>
          <c:tx>
            <c:strRef>
              <c:f>'Ch4. Grants leading Tech'!$R$158</c:f>
              <c:strCache>
                <c:ptCount val="1"/>
                <c:pt idx="0">
                  <c:v>Telecommunications</c:v>
                </c:pt>
              </c:strCache>
            </c:strRef>
          </c:tx>
          <c:spPr>
            <a:ln w="28575" cap="rnd">
              <a:solidFill>
                <a:schemeClr val="accent3">
                  <a:lumMod val="60000"/>
                </a:schemeClr>
              </a:solidFill>
              <a:round/>
            </a:ln>
            <a:effectLst/>
          </c:spPr>
          <c:marker>
            <c:symbol val="none"/>
          </c:marker>
          <c:dLbls>
            <c:dLbl>
              <c:idx val="5"/>
              <c:layout>
                <c:manualLayout>
                  <c:x val="0.10918636975821931"/>
                  <c:y val="-3.6961241616777771E-4"/>
                </c:manualLayout>
              </c:layout>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807886218676291"/>
                      <c:h val="6.4314394493965824E-2"/>
                    </c:manualLayout>
                  </c15:layout>
                </c:ext>
                <c:ext xmlns:c16="http://schemas.microsoft.com/office/drawing/2014/chart" uri="{C3380CC4-5D6E-409C-BE32-E72D297353CC}">
                  <c16:uniqueId val="{00000017-4FE4-4E62-B933-DA61A21AFDA7}"/>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Tech'!$S$158:$Y$158</c:f>
              <c:numCache>
                <c:formatCode>General</c:formatCode>
                <c:ptCount val="7"/>
                <c:pt idx="0">
                  <c:v>11</c:v>
                </c:pt>
                <c:pt idx="1">
                  <c:v>11</c:v>
                </c:pt>
                <c:pt idx="2">
                  <c:v>10</c:v>
                </c:pt>
                <c:pt idx="3">
                  <c:v>9</c:v>
                </c:pt>
                <c:pt idx="4">
                  <c:v>11</c:v>
                </c:pt>
                <c:pt idx="5">
                  <c:v>11</c:v>
                </c:pt>
                <c:pt idx="6">
                  <c:v>11</c:v>
                </c:pt>
              </c:numCache>
            </c:numRef>
          </c:val>
          <c:smooth val="0"/>
          <c:extLst>
            <c:ext xmlns:c16="http://schemas.microsoft.com/office/drawing/2014/chart" uri="{C3380CC4-5D6E-409C-BE32-E72D297353CC}">
              <c16:uniqueId val="{00000018-4FE4-4E62-B933-DA61A21AFDA7}"/>
            </c:ext>
          </c:extLst>
        </c:ser>
        <c:ser>
          <c:idx val="9"/>
          <c:order val="9"/>
          <c:tx>
            <c:strRef>
              <c:f>'Ch4. Grants leading Tech'!$R$159</c:f>
              <c:strCache>
                <c:ptCount val="1"/>
                <c:pt idx="0">
                  <c:v>Electrical machinery, apparatus, energy</c:v>
                </c:pt>
              </c:strCache>
            </c:strRef>
          </c:tx>
          <c:spPr>
            <a:ln w="28575"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FE4-4E62-B933-DA61A21AFDA7}"/>
                </c:ext>
              </c:extLst>
            </c:dLbl>
            <c:dLbl>
              <c:idx val="5"/>
              <c:layout>
                <c:manualLayout>
                  <c:x val="0.10918645242506499"/>
                  <c:y val="0"/>
                </c:manualLayout>
              </c:layout>
              <c:showLegendKey val="0"/>
              <c:showVal val="0"/>
              <c:showCatName val="0"/>
              <c:showSerName val="1"/>
              <c:showPercent val="0"/>
              <c:showBubbleSize val="0"/>
              <c:extLst>
                <c:ext xmlns:c15="http://schemas.microsoft.com/office/drawing/2012/chart" uri="{CE6537A1-D6FC-4f65-9D91-7224C49458BB}">
                  <c15:layout>
                    <c:manualLayout>
                      <c:w val="0.27357611932901638"/>
                      <c:h val="0.12283667079548581"/>
                    </c:manualLayout>
                  </c15:layout>
                </c:ext>
                <c:ext xmlns:c16="http://schemas.microsoft.com/office/drawing/2014/chart" uri="{C3380CC4-5D6E-409C-BE32-E72D297353CC}">
                  <c16:uniqueId val="{0000001A-4FE4-4E62-B933-DA61A21AFDA7}"/>
                </c:ext>
              </c:extLst>
            </c:dLbl>
            <c:spPr>
              <a:noFill/>
              <a:ln>
                <a:noFill/>
              </a:ln>
              <a:effectLst/>
            </c:spPr>
            <c:txPr>
              <a:bodyPr rot="0" spcFirstLastPara="1" vertOverflow="ellipsis" vert="horz" wrap="square" anchor="ctr" anchorCtr="0"/>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Tech'!$S$159:$Y$159</c:f>
              <c:numCache>
                <c:formatCode>General</c:formatCode>
                <c:ptCount val="7"/>
                <c:pt idx="0">
                  <c:v>2</c:v>
                </c:pt>
                <c:pt idx="1">
                  <c:v>2</c:v>
                </c:pt>
                <c:pt idx="2">
                  <c:v>3</c:v>
                </c:pt>
                <c:pt idx="3">
                  <c:v>3</c:v>
                </c:pt>
                <c:pt idx="4">
                  <c:v>3</c:v>
                </c:pt>
                <c:pt idx="5">
                  <c:v>4</c:v>
                </c:pt>
                <c:pt idx="6">
                  <c:v>4</c:v>
                </c:pt>
              </c:numCache>
            </c:numRef>
          </c:val>
          <c:smooth val="0"/>
          <c:extLst>
            <c:ext xmlns:c16="http://schemas.microsoft.com/office/drawing/2014/chart" uri="{C3380CC4-5D6E-409C-BE32-E72D297353CC}">
              <c16:uniqueId val="{0000001B-4FE4-4E62-B933-DA61A21AFDA7}"/>
            </c:ext>
          </c:extLst>
        </c:ser>
        <c:ser>
          <c:idx val="10"/>
          <c:order val="10"/>
          <c:tx>
            <c:strRef>
              <c:f>'Ch4. Grants leading Tech'!$R$160</c:f>
              <c:strCache>
                <c:ptCount val="1"/>
                <c:pt idx="0">
                  <c:v>Digital communication</c:v>
                </c:pt>
              </c:strCache>
            </c:strRef>
          </c:tx>
          <c:spPr>
            <a:ln w="28575" cap="rnd">
              <a:solidFill>
                <a:schemeClr val="accent5">
                  <a:lumMod val="60000"/>
                </a:schemeClr>
              </a:solidFill>
              <a:round/>
            </a:ln>
            <a:effectLst/>
          </c:spPr>
          <c:marker>
            <c:symbol val="none"/>
          </c:marker>
          <c:dLbls>
            <c:dLbl>
              <c:idx val="5"/>
              <c:layout>
                <c:manualLayout>
                  <c:x val="0.10482182023833676"/>
                  <c:y val="-1.1149828231189493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877475169359563"/>
                      <c:h val="0.11173854501472451"/>
                    </c:manualLayout>
                  </c15:layout>
                </c:ext>
                <c:ext xmlns:c16="http://schemas.microsoft.com/office/drawing/2014/chart" uri="{C3380CC4-5D6E-409C-BE32-E72D297353CC}">
                  <c16:uniqueId val="{0000001D-4FE4-4E62-B933-DA61A21AFDA7}"/>
                </c:ext>
              </c:extLst>
            </c:dLbl>
            <c:spPr>
              <a:noFill/>
              <a:ln>
                <a:noFill/>
              </a:ln>
              <a:effectLst/>
            </c:spPr>
            <c:txPr>
              <a:bodyPr rot="0" spcFirstLastPara="1" vertOverflow="ellipsis" vert="horz" wrap="square" rIns="91440" anchor="ctr" anchorCtr="0"/>
              <a:lstStyle/>
              <a:p>
                <a:pPr algn="l">
                  <a:defRPr sz="1050" b="0" i="0" u="none" strike="noStrike" kern="1200" baseline="0">
                    <a:solidFill>
                      <a:schemeClr val="tx1"/>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Tech'!$S$160:$Y$160</c:f>
              <c:numCache>
                <c:formatCode>General</c:formatCode>
                <c:ptCount val="7"/>
                <c:pt idx="0">
                  <c:v>3</c:v>
                </c:pt>
                <c:pt idx="1">
                  <c:v>3</c:v>
                </c:pt>
                <c:pt idx="2">
                  <c:v>1</c:v>
                </c:pt>
                <c:pt idx="3">
                  <c:v>1</c:v>
                </c:pt>
                <c:pt idx="4">
                  <c:v>1</c:v>
                </c:pt>
                <c:pt idx="5">
                  <c:v>1</c:v>
                </c:pt>
                <c:pt idx="6">
                  <c:v>1</c:v>
                </c:pt>
              </c:numCache>
            </c:numRef>
          </c:val>
          <c:smooth val="0"/>
          <c:extLst>
            <c:ext xmlns:c16="http://schemas.microsoft.com/office/drawing/2014/chart" uri="{C3380CC4-5D6E-409C-BE32-E72D297353CC}">
              <c16:uniqueId val="{0000001E-4FE4-4E62-B933-DA61A21AFDA7}"/>
            </c:ext>
          </c:extLst>
        </c:ser>
        <c:ser>
          <c:idx val="11"/>
          <c:order val="11"/>
          <c:tx>
            <c:strRef>
              <c:f>'Ch4. Grants leading Tech'!$R$161</c:f>
              <c:strCache>
                <c:ptCount val="1"/>
                <c:pt idx="0">
                  <c:v>Medical technology</c:v>
                </c:pt>
              </c:strCache>
            </c:strRef>
          </c:tx>
          <c:spPr>
            <a:ln w="28575"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FE4-4E62-B933-DA61A21AFDA7}"/>
                </c:ext>
              </c:extLst>
            </c:dLbl>
            <c:dLbl>
              <c:idx val="5"/>
              <c:layout>
                <c:manualLayout>
                  <c:x val="0.1049868939982878"/>
                  <c:y val="-7.4332188207929953E-3"/>
                </c:manualLayout>
              </c:layout>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4FE4-4E62-B933-DA61A21AFD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Tech'!$S$149:$Y$149</c:f>
              <c:numCache>
                <c:formatCode>General</c:formatCode>
                <c:ptCount val="7"/>
                <c:pt idx="0">
                  <c:v>2016</c:v>
                </c:pt>
                <c:pt idx="1">
                  <c:v>2017</c:v>
                </c:pt>
                <c:pt idx="2">
                  <c:v>2018</c:v>
                </c:pt>
                <c:pt idx="3">
                  <c:v>2019</c:v>
                </c:pt>
                <c:pt idx="4">
                  <c:v>2020</c:v>
                </c:pt>
                <c:pt idx="5">
                  <c:v>2021</c:v>
                </c:pt>
                <c:pt idx="6">
                  <c:v>2022</c:v>
                </c:pt>
              </c:numCache>
            </c:numRef>
          </c:cat>
          <c:val>
            <c:numRef>
              <c:f>'Ch4. Grants leading Tech'!$S$161:$Y$161</c:f>
              <c:numCache>
                <c:formatCode>General</c:formatCode>
                <c:ptCount val="7"/>
                <c:pt idx="0">
                  <c:v>1</c:v>
                </c:pt>
                <c:pt idx="1">
                  <c:v>1</c:v>
                </c:pt>
                <c:pt idx="2">
                  <c:v>2</c:v>
                </c:pt>
                <c:pt idx="3">
                  <c:v>2</c:v>
                </c:pt>
                <c:pt idx="4">
                  <c:v>2</c:v>
                </c:pt>
                <c:pt idx="5">
                  <c:v>2</c:v>
                </c:pt>
                <c:pt idx="6">
                  <c:v>2</c:v>
                </c:pt>
              </c:numCache>
            </c:numRef>
          </c:val>
          <c:smooth val="0"/>
          <c:extLst>
            <c:ext xmlns:c16="http://schemas.microsoft.com/office/drawing/2014/chart" uri="{C3380CC4-5D6E-409C-BE32-E72D297353CC}">
              <c16:uniqueId val="{00000021-4FE4-4E62-B933-DA61A21AFDA7}"/>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JPO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1297258675998829"/>
        </c:manualLayout>
      </c:layout>
      <c:lineChart>
        <c:grouping val="standard"/>
        <c:varyColors val="0"/>
        <c:ser>
          <c:idx val="0"/>
          <c:order val="0"/>
          <c:tx>
            <c:strRef>
              <c:f>'Ch4. Grants leading Tech'!$AD$150</c:f>
              <c:strCache>
                <c:ptCount val="1"/>
                <c:pt idx="0">
                  <c:v>Audio-visual technology</c:v>
                </c:pt>
              </c:strCache>
            </c:strRef>
          </c:tx>
          <c:spPr>
            <a:ln w="28575"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97-41F1-BBAA-B611BE58EE81}"/>
                </c:ext>
              </c:extLst>
            </c:dLbl>
            <c:dLbl>
              <c:idx val="4"/>
              <c:layout>
                <c:manualLayout>
                  <c:x val="0.2213521091837119"/>
                  <c:y val="0.13333333333333319"/>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c:ext xmlns:c15="http://schemas.microsoft.com/office/drawing/2012/chart" uri="{CE6537A1-D6FC-4f65-9D91-7224C49458BB}">
                  <c15:layout>
                    <c:manualLayout>
                      <c:w val="0.22693203184109154"/>
                      <c:h val="0.10450434385290551"/>
                    </c:manualLayout>
                  </c15:layout>
                </c:ext>
                <c:ext xmlns:c16="http://schemas.microsoft.com/office/drawing/2014/chart" uri="{C3380CC4-5D6E-409C-BE32-E72D297353CC}">
                  <c16:uniqueId val="{00000001-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Tech'!$AE$150:$AK$150</c:f>
              <c:numCache>
                <c:formatCode>General</c:formatCode>
                <c:ptCount val="7"/>
                <c:pt idx="0">
                  <c:v>9</c:v>
                </c:pt>
                <c:pt idx="1">
                  <c:v>9</c:v>
                </c:pt>
                <c:pt idx="2">
                  <c:v>9</c:v>
                </c:pt>
                <c:pt idx="3">
                  <c:v>8</c:v>
                </c:pt>
                <c:pt idx="4">
                  <c:v>9</c:v>
                </c:pt>
                <c:pt idx="5">
                  <c:v>9</c:v>
                </c:pt>
                <c:pt idx="6">
                  <c:v>9</c:v>
                </c:pt>
              </c:numCache>
            </c:numRef>
          </c:val>
          <c:smooth val="0"/>
          <c:extLst>
            <c:ext xmlns:c16="http://schemas.microsoft.com/office/drawing/2014/chart" uri="{C3380CC4-5D6E-409C-BE32-E72D297353CC}">
              <c16:uniqueId val="{00000002-3297-41F1-BBAA-B611BE58EE81}"/>
            </c:ext>
          </c:extLst>
        </c:ser>
        <c:ser>
          <c:idx val="1"/>
          <c:order val="1"/>
          <c:tx>
            <c:strRef>
              <c:f>'Ch4. Grants leading Tech'!$AD$151</c:f>
              <c:strCache>
                <c:ptCount val="1"/>
                <c:pt idx="0">
                  <c:v>Semiconductors</c:v>
                </c:pt>
              </c:strCache>
            </c:strRef>
          </c:tx>
          <c:spPr>
            <a:ln w="28575"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97-41F1-BBAA-B611BE58EE81}"/>
                </c:ext>
              </c:extLst>
            </c:dLbl>
            <c:dLbl>
              <c:idx val="4"/>
              <c:layout>
                <c:manualLayout>
                  <c:x val="0.22344033662884125"/>
                  <c:y val="4.07407407407407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Tech'!$AE$151:$AK$151</c:f>
              <c:numCache>
                <c:formatCode>General</c:formatCode>
                <c:ptCount val="7"/>
                <c:pt idx="0">
                  <c:v>8</c:v>
                </c:pt>
                <c:pt idx="1">
                  <c:v>8</c:v>
                </c:pt>
                <c:pt idx="2">
                  <c:v>8</c:v>
                </c:pt>
                <c:pt idx="3">
                  <c:v>9</c:v>
                </c:pt>
                <c:pt idx="4">
                  <c:v>8</c:v>
                </c:pt>
                <c:pt idx="5">
                  <c:v>10</c:v>
                </c:pt>
                <c:pt idx="6">
                  <c:v>10</c:v>
                </c:pt>
              </c:numCache>
            </c:numRef>
          </c:val>
          <c:smooth val="0"/>
          <c:extLst>
            <c:ext xmlns:c16="http://schemas.microsoft.com/office/drawing/2014/chart" uri="{C3380CC4-5D6E-409C-BE32-E72D297353CC}">
              <c16:uniqueId val="{00000005-3297-41F1-BBAA-B611BE58EE81}"/>
            </c:ext>
          </c:extLst>
        </c:ser>
        <c:ser>
          <c:idx val="2"/>
          <c:order val="2"/>
          <c:tx>
            <c:strRef>
              <c:f>'Ch4. Grants leading Tech'!$AD$152</c:f>
              <c:strCache>
                <c:ptCount val="1"/>
                <c:pt idx="0">
                  <c:v>Civil engineering</c:v>
                </c:pt>
              </c:strCache>
            </c:strRef>
          </c:tx>
          <c:spPr>
            <a:ln w="28575"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97-41F1-BBAA-B611BE58EE81}"/>
                </c:ext>
              </c:extLst>
            </c:dLbl>
            <c:dLbl>
              <c:idx val="4"/>
              <c:layout>
                <c:manualLayout>
                  <c:x val="0.22970510117790827"/>
                  <c:y val="-6.6666520851560218E-2"/>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052854757772636"/>
                      <c:h val="0.11165692007797269"/>
                    </c:manualLayout>
                  </c15:layout>
                </c:ext>
                <c:ext xmlns:c16="http://schemas.microsoft.com/office/drawing/2014/chart" uri="{C3380CC4-5D6E-409C-BE32-E72D297353CC}">
                  <c16:uniqueId val="{00000007-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Tech'!$AE$152:$AK$152</c:f>
              <c:numCache>
                <c:formatCode>General</c:formatCode>
                <c:ptCount val="7"/>
                <c:pt idx="0">
                  <c:v>10</c:v>
                </c:pt>
                <c:pt idx="1">
                  <c:v>10</c:v>
                </c:pt>
                <c:pt idx="2">
                  <c:v>10</c:v>
                </c:pt>
                <c:pt idx="3">
                  <c:v>10</c:v>
                </c:pt>
                <c:pt idx="4">
                  <c:v>11</c:v>
                </c:pt>
                <c:pt idx="5">
                  <c:v>9</c:v>
                </c:pt>
                <c:pt idx="6">
                  <c:v>9</c:v>
                </c:pt>
              </c:numCache>
            </c:numRef>
          </c:val>
          <c:smooth val="0"/>
          <c:extLst>
            <c:ext xmlns:c16="http://schemas.microsoft.com/office/drawing/2014/chart" uri="{C3380CC4-5D6E-409C-BE32-E72D297353CC}">
              <c16:uniqueId val="{00000008-3297-41F1-BBAA-B611BE58EE81}"/>
            </c:ext>
          </c:extLst>
        </c:ser>
        <c:ser>
          <c:idx val="3"/>
          <c:order val="3"/>
          <c:tx>
            <c:strRef>
              <c:f>'Ch4. Grants leading Tech'!$AD$153</c:f>
              <c:strCache>
                <c:ptCount val="1"/>
                <c:pt idx="0">
                  <c:v>Optics</c:v>
                </c:pt>
              </c:strCache>
            </c:strRef>
          </c:tx>
          <c:spPr>
            <a:ln w="28575"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297-41F1-BBAA-B611BE58EE81}"/>
                </c:ext>
              </c:extLst>
            </c:dLbl>
            <c:dLbl>
              <c:idx val="4"/>
              <c:layout>
                <c:manualLayout>
                  <c:x val="0.22552856407397059"/>
                  <c:y val="0.14814814814814814"/>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Tech'!$AE$153:$AK$153</c:f>
              <c:numCache>
                <c:formatCode>General</c:formatCode>
                <c:ptCount val="7"/>
                <c:pt idx="0">
                  <c:v>4</c:v>
                </c:pt>
                <c:pt idx="1">
                  <c:v>4</c:v>
                </c:pt>
                <c:pt idx="2">
                  <c:v>7</c:v>
                </c:pt>
                <c:pt idx="3">
                  <c:v>7</c:v>
                </c:pt>
                <c:pt idx="4">
                  <c:v>7</c:v>
                </c:pt>
                <c:pt idx="5">
                  <c:v>7</c:v>
                </c:pt>
                <c:pt idx="6">
                  <c:v>9</c:v>
                </c:pt>
              </c:numCache>
            </c:numRef>
          </c:val>
          <c:smooth val="0"/>
          <c:extLst>
            <c:ext xmlns:c16="http://schemas.microsoft.com/office/drawing/2014/chart" uri="{C3380CC4-5D6E-409C-BE32-E72D297353CC}">
              <c16:uniqueId val="{0000000B-3297-41F1-BBAA-B611BE58EE81}"/>
            </c:ext>
          </c:extLst>
        </c:ser>
        <c:ser>
          <c:idx val="4"/>
          <c:order val="4"/>
          <c:tx>
            <c:strRef>
              <c:f>'Ch4. Grants leading Tech'!$AD$154</c:f>
              <c:strCache>
                <c:ptCount val="1"/>
                <c:pt idx="0">
                  <c:v>Medical technology</c:v>
                </c:pt>
              </c:strCache>
            </c:strRef>
          </c:tx>
          <c:spPr>
            <a:ln w="28575"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297-41F1-BBAA-B611BE58EE81}"/>
                </c:ext>
              </c:extLst>
            </c:dLbl>
            <c:dLbl>
              <c:idx val="4"/>
              <c:layout>
                <c:manualLayout>
                  <c:x val="0.22344033662884125"/>
                  <c:y val="7.777777777777777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Tech'!$AE$154:$AK$154</c:f>
              <c:numCache>
                <c:formatCode>General</c:formatCode>
                <c:ptCount val="7"/>
                <c:pt idx="0">
                  <c:v>6</c:v>
                </c:pt>
                <c:pt idx="1">
                  <c:v>6</c:v>
                </c:pt>
                <c:pt idx="2">
                  <c:v>6</c:v>
                </c:pt>
                <c:pt idx="3">
                  <c:v>6</c:v>
                </c:pt>
                <c:pt idx="4">
                  <c:v>5</c:v>
                </c:pt>
                <c:pt idx="5">
                  <c:v>4</c:v>
                </c:pt>
                <c:pt idx="6">
                  <c:v>6</c:v>
                </c:pt>
              </c:numCache>
            </c:numRef>
          </c:val>
          <c:smooth val="0"/>
          <c:extLst>
            <c:ext xmlns:c16="http://schemas.microsoft.com/office/drawing/2014/chart" uri="{C3380CC4-5D6E-409C-BE32-E72D297353CC}">
              <c16:uniqueId val="{0000000E-3297-41F1-BBAA-B611BE58EE81}"/>
            </c:ext>
          </c:extLst>
        </c:ser>
        <c:ser>
          <c:idx val="5"/>
          <c:order val="5"/>
          <c:tx>
            <c:strRef>
              <c:f>'Ch4. Grants leading Tech'!$AD$155</c:f>
              <c:strCache>
                <c:ptCount val="1"/>
                <c:pt idx="0">
                  <c:v>Measurement</c:v>
                </c:pt>
              </c:strCache>
            </c:strRef>
          </c:tx>
          <c:spPr>
            <a:ln w="28575"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297-41F1-BBAA-B611BE58EE81}"/>
                </c:ext>
              </c:extLst>
            </c:dLbl>
            <c:dLbl>
              <c:idx val="4"/>
              <c:layout>
                <c:manualLayout>
                  <c:x val="0.22344033662884125"/>
                  <c:y val="0.20740740740740726"/>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Tech'!$AE$155:$AK$155</c:f>
              <c:numCache>
                <c:formatCode>General</c:formatCode>
                <c:ptCount val="7"/>
                <c:pt idx="0">
                  <c:v>7</c:v>
                </c:pt>
                <c:pt idx="1">
                  <c:v>7</c:v>
                </c:pt>
                <c:pt idx="2">
                  <c:v>4</c:v>
                </c:pt>
                <c:pt idx="3">
                  <c:v>5</c:v>
                </c:pt>
                <c:pt idx="4">
                  <c:v>4</c:v>
                </c:pt>
                <c:pt idx="5">
                  <c:v>5</c:v>
                </c:pt>
                <c:pt idx="6">
                  <c:v>7</c:v>
                </c:pt>
              </c:numCache>
            </c:numRef>
          </c:val>
          <c:smooth val="0"/>
          <c:extLst>
            <c:ext xmlns:c16="http://schemas.microsoft.com/office/drawing/2014/chart" uri="{C3380CC4-5D6E-409C-BE32-E72D297353CC}">
              <c16:uniqueId val="{00000011-3297-41F1-BBAA-B611BE58EE81}"/>
            </c:ext>
          </c:extLst>
        </c:ser>
        <c:ser>
          <c:idx val="6"/>
          <c:order val="6"/>
          <c:tx>
            <c:strRef>
              <c:f>'Ch4. Grants leading Tech'!$AD$156</c:f>
              <c:strCache>
                <c:ptCount val="1"/>
                <c:pt idx="0">
                  <c:v>Transport</c:v>
                </c:pt>
              </c:strCache>
            </c:strRef>
          </c:tx>
          <c:spPr>
            <a:ln w="28575"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297-41F1-BBAA-B611BE58EE81}"/>
                </c:ext>
              </c:extLst>
            </c:dLbl>
            <c:dLbl>
              <c:idx val="4"/>
              <c:layout>
                <c:manualLayout>
                  <c:x val="0.22344033662884125"/>
                  <c:y val="0.1333333333333333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Tech'!$AE$156:$AK$156</c:f>
              <c:numCache>
                <c:formatCode>General</c:formatCode>
                <c:ptCount val="7"/>
                <c:pt idx="0">
                  <c:v>5</c:v>
                </c:pt>
                <c:pt idx="1">
                  <c:v>5</c:v>
                </c:pt>
                <c:pt idx="2">
                  <c:v>5</c:v>
                </c:pt>
                <c:pt idx="3">
                  <c:v>4</c:v>
                </c:pt>
                <c:pt idx="4">
                  <c:v>6</c:v>
                </c:pt>
                <c:pt idx="5">
                  <c:v>6</c:v>
                </c:pt>
                <c:pt idx="6">
                  <c:v>8</c:v>
                </c:pt>
              </c:numCache>
            </c:numRef>
          </c:val>
          <c:smooth val="0"/>
          <c:extLst>
            <c:ext xmlns:c16="http://schemas.microsoft.com/office/drawing/2014/chart" uri="{C3380CC4-5D6E-409C-BE32-E72D297353CC}">
              <c16:uniqueId val="{00000014-3297-41F1-BBAA-B611BE58EE81}"/>
            </c:ext>
          </c:extLst>
        </c:ser>
        <c:ser>
          <c:idx val="7"/>
          <c:order val="7"/>
          <c:tx>
            <c:strRef>
              <c:f>'Ch4. Grants leading Tech'!$AD$157</c:f>
              <c:strCache>
                <c:ptCount val="1"/>
                <c:pt idx="0">
                  <c:v>Handling</c:v>
                </c:pt>
              </c:strCache>
            </c:strRef>
          </c:tx>
          <c:spPr>
            <a:ln w="28575" cap="rnd">
              <a:solidFill>
                <a:schemeClr val="accent2">
                  <a:lumMod val="60000"/>
                </a:schemeClr>
              </a:solidFill>
              <a:round/>
            </a:ln>
            <a:effectLst/>
          </c:spPr>
          <c:marker>
            <c:symbol val="none"/>
          </c:marker>
          <c:dLbls>
            <c:dLbl>
              <c:idx val="3"/>
              <c:delete val="1"/>
              <c:extLst>
                <c:ext xmlns:c15="http://schemas.microsoft.com/office/drawing/2012/chart" uri="{CE6537A1-D6FC-4f65-9D91-7224C49458BB}">
                  <c15:layout>
                    <c:manualLayout>
                      <c:w val="0.24039898987727942"/>
                      <c:h val="0.10462100456621003"/>
                    </c:manualLayout>
                  </c15:layout>
                </c:ext>
                <c:ext xmlns:c16="http://schemas.microsoft.com/office/drawing/2014/chart" uri="{C3380CC4-5D6E-409C-BE32-E72D297353CC}">
                  <c16:uniqueId val="{00000015-3297-41F1-BBAA-B611BE58EE81}"/>
                </c:ext>
              </c:extLst>
            </c:dLbl>
            <c:dLbl>
              <c:idx val="4"/>
              <c:layout>
                <c:manualLayout>
                  <c:x val="0.22448445035140593"/>
                  <c:y val="9.0741032370953628E-2"/>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c:ext xmlns:c15="http://schemas.microsoft.com/office/drawing/2012/chart" uri="{CE6537A1-D6FC-4f65-9D91-7224C49458BB}">
                  <c15:layout>
                    <c:manualLayout>
                      <c:w val="0.11779592361559975"/>
                      <c:h val="7.7899970836978708E-2"/>
                    </c:manualLayout>
                  </c15:layout>
                </c:ext>
                <c:ext xmlns:c16="http://schemas.microsoft.com/office/drawing/2014/chart" uri="{C3380CC4-5D6E-409C-BE32-E72D297353CC}">
                  <c16:uniqueId val="{00000016-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Tech'!$AE$157:$AK$157</c:f>
              <c:numCache>
                <c:formatCode>General</c:formatCode>
                <c:ptCount val="7"/>
                <c:pt idx="0">
                  <c:v>11</c:v>
                </c:pt>
                <c:pt idx="1">
                  <c:v>11</c:v>
                </c:pt>
                <c:pt idx="2">
                  <c:v>11</c:v>
                </c:pt>
                <c:pt idx="3">
                  <c:v>11</c:v>
                </c:pt>
                <c:pt idx="4">
                  <c:v>10</c:v>
                </c:pt>
                <c:pt idx="5">
                  <c:v>9</c:v>
                </c:pt>
                <c:pt idx="6">
                  <c:v>11</c:v>
                </c:pt>
              </c:numCache>
            </c:numRef>
          </c:val>
          <c:smooth val="0"/>
          <c:extLst>
            <c:ext xmlns:c16="http://schemas.microsoft.com/office/drawing/2014/chart" uri="{C3380CC4-5D6E-409C-BE32-E72D297353CC}">
              <c16:uniqueId val="{00000017-3297-41F1-BBAA-B611BE58EE81}"/>
            </c:ext>
          </c:extLst>
        </c:ser>
        <c:ser>
          <c:idx val="8"/>
          <c:order val="8"/>
          <c:tx>
            <c:strRef>
              <c:f>'Ch4. Grants leading Tech'!$AD$158</c:f>
              <c:strCache>
                <c:ptCount val="1"/>
                <c:pt idx="0">
                  <c:v>Furniture, games</c:v>
                </c:pt>
              </c:strCache>
            </c:strRef>
          </c:tx>
          <c:spPr>
            <a:ln w="28575"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297-41F1-BBAA-B611BE58EE81}"/>
                </c:ext>
              </c:extLst>
            </c:dLbl>
            <c:dLbl>
              <c:idx val="4"/>
              <c:layout>
                <c:manualLayout>
                  <c:x val="0.2213521091837119"/>
                  <c:y val="0.1333333333333332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Tech'!$AE$158:$AK$158</c:f>
              <c:numCache>
                <c:formatCode>General</c:formatCode>
                <c:ptCount val="7"/>
                <c:pt idx="0">
                  <c:v>3</c:v>
                </c:pt>
                <c:pt idx="1">
                  <c:v>3</c:v>
                </c:pt>
                <c:pt idx="2">
                  <c:v>3</c:v>
                </c:pt>
                <c:pt idx="3">
                  <c:v>3</c:v>
                </c:pt>
                <c:pt idx="4">
                  <c:v>2</c:v>
                </c:pt>
                <c:pt idx="5">
                  <c:v>2</c:v>
                </c:pt>
                <c:pt idx="6">
                  <c:v>4</c:v>
                </c:pt>
              </c:numCache>
            </c:numRef>
          </c:val>
          <c:smooth val="0"/>
          <c:extLst>
            <c:ext xmlns:c16="http://schemas.microsoft.com/office/drawing/2014/chart" uri="{C3380CC4-5D6E-409C-BE32-E72D297353CC}">
              <c16:uniqueId val="{0000001A-3297-41F1-BBAA-B611BE58EE81}"/>
            </c:ext>
          </c:extLst>
        </c:ser>
        <c:ser>
          <c:idx val="9"/>
          <c:order val="9"/>
          <c:tx>
            <c:strRef>
              <c:f>'Ch4. Grants leading Tech'!$AD$159</c:f>
              <c:strCache>
                <c:ptCount val="1"/>
                <c:pt idx="0">
                  <c:v>Computer technology</c:v>
                </c:pt>
              </c:strCache>
            </c:strRef>
          </c:tx>
          <c:spPr>
            <a:ln w="28575"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297-41F1-BBAA-B611BE58EE81}"/>
                </c:ext>
              </c:extLst>
            </c:dLbl>
            <c:dLbl>
              <c:idx val="4"/>
              <c:layout>
                <c:manualLayout>
                  <c:x val="0.21998407356611532"/>
                  <c:y val="0.14074103237095356"/>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0705843896283826"/>
                      <c:h val="0.1116570428696413"/>
                    </c:manualLayout>
                  </c15:layout>
                </c:ext>
                <c:ext xmlns:c16="http://schemas.microsoft.com/office/drawing/2014/chart" uri="{C3380CC4-5D6E-409C-BE32-E72D297353CC}">
                  <c16:uniqueId val="{0000001C-3297-41F1-BBAA-B611BE58EE8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Tech'!$AE$159:$AK$159</c:f>
              <c:numCache>
                <c:formatCode>General</c:formatCode>
                <c:ptCount val="7"/>
                <c:pt idx="0">
                  <c:v>2</c:v>
                </c:pt>
                <c:pt idx="1">
                  <c:v>2</c:v>
                </c:pt>
                <c:pt idx="2">
                  <c:v>2</c:v>
                </c:pt>
                <c:pt idx="3">
                  <c:v>2</c:v>
                </c:pt>
                <c:pt idx="4">
                  <c:v>3</c:v>
                </c:pt>
                <c:pt idx="5">
                  <c:v>3</c:v>
                </c:pt>
                <c:pt idx="6">
                  <c:v>5</c:v>
                </c:pt>
              </c:numCache>
            </c:numRef>
          </c:val>
          <c:smooth val="0"/>
          <c:extLst>
            <c:ext xmlns:c16="http://schemas.microsoft.com/office/drawing/2014/chart" uri="{C3380CC4-5D6E-409C-BE32-E72D297353CC}">
              <c16:uniqueId val="{0000001D-3297-41F1-BBAA-B611BE58EE81}"/>
            </c:ext>
          </c:extLst>
        </c:ser>
        <c:ser>
          <c:idx val="10"/>
          <c:order val="10"/>
          <c:tx>
            <c:strRef>
              <c:f>'Ch4. Grants leading Tech'!$AD$160</c:f>
              <c:strCache>
                <c:ptCount val="1"/>
                <c:pt idx="0">
                  <c:v>Electrical machinery, apparatus, energy</c:v>
                </c:pt>
              </c:strCache>
            </c:strRef>
          </c:tx>
          <c:spPr>
            <a:ln w="28575"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297-41F1-BBAA-B611BE58EE81}"/>
                </c:ext>
              </c:extLst>
            </c:dLbl>
            <c:dLbl>
              <c:idx val="4"/>
              <c:layout>
                <c:manualLayout>
                  <c:x val="0.21926388173858238"/>
                  <c:y val="-3.7037037037037038E-3"/>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6616192856248533"/>
                      <c:h val="0.12187380086261146"/>
                    </c:manualLayout>
                  </c15:layout>
                </c:ext>
                <c:ext xmlns:c16="http://schemas.microsoft.com/office/drawing/2014/chart" uri="{C3380CC4-5D6E-409C-BE32-E72D297353CC}">
                  <c16:uniqueId val="{0000001F-3297-41F1-BBAA-B611BE58EE81}"/>
                </c:ext>
              </c:extLst>
            </c:dLbl>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Tech'!$AE$149:$AK$149</c:f>
              <c:numCache>
                <c:formatCode>General</c:formatCode>
                <c:ptCount val="7"/>
                <c:pt idx="0">
                  <c:v>2016</c:v>
                </c:pt>
                <c:pt idx="1">
                  <c:v>2017</c:v>
                </c:pt>
                <c:pt idx="2">
                  <c:v>2018</c:v>
                </c:pt>
                <c:pt idx="3">
                  <c:v>2019</c:v>
                </c:pt>
                <c:pt idx="4">
                  <c:v>2020</c:v>
                </c:pt>
                <c:pt idx="5">
                  <c:v>2021</c:v>
                </c:pt>
                <c:pt idx="6">
                  <c:v>2022</c:v>
                </c:pt>
              </c:numCache>
            </c:numRef>
          </c:cat>
          <c:val>
            <c:numRef>
              <c:f>'Ch4. Grants leading Tech'!$AE$160:$AK$160</c:f>
              <c:numCache>
                <c:formatCode>General</c:formatCode>
                <c:ptCount val="7"/>
                <c:pt idx="0">
                  <c:v>1</c:v>
                </c:pt>
                <c:pt idx="1">
                  <c:v>1</c:v>
                </c:pt>
                <c:pt idx="2">
                  <c:v>1</c:v>
                </c:pt>
                <c:pt idx="3">
                  <c:v>1</c:v>
                </c:pt>
                <c:pt idx="4">
                  <c:v>1</c:v>
                </c:pt>
                <c:pt idx="5">
                  <c:v>1</c:v>
                </c:pt>
                <c:pt idx="6">
                  <c:v>1</c:v>
                </c:pt>
              </c:numCache>
            </c:numRef>
          </c:val>
          <c:smooth val="0"/>
          <c:extLst>
            <c:ext xmlns:c16="http://schemas.microsoft.com/office/drawing/2014/chart" uri="{C3380CC4-5D6E-409C-BE32-E72D297353CC}">
              <c16:uniqueId val="{00000020-3297-41F1-BBAA-B611BE58EE81}"/>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KIPO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1297258675998829"/>
        </c:manualLayout>
      </c:layout>
      <c:lineChart>
        <c:grouping val="standard"/>
        <c:varyColors val="0"/>
        <c:ser>
          <c:idx val="0"/>
          <c:order val="0"/>
          <c:tx>
            <c:strRef>
              <c:f>'Ch4. Grants leading Tech'!$AP$150</c:f>
              <c:strCache>
                <c:ptCount val="1"/>
                <c:pt idx="0">
                  <c:v>Other special machines</c:v>
                </c:pt>
              </c:strCache>
            </c:strRef>
          </c:tx>
          <c:spPr>
            <a:ln w="28575"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B6-46CD-8815-5F7C8A3FAED6}"/>
                </c:ext>
              </c:extLst>
            </c:dLbl>
            <c:dLbl>
              <c:idx val="5"/>
              <c:layout>
                <c:manualLayout>
                  <c:x val="0.11485261058070491"/>
                  <c:y val="4.0740740740740605E-2"/>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072534838874314"/>
                      <c:h val="0.1116570428696413"/>
                    </c:manualLayout>
                  </c15:layout>
                </c:ext>
                <c:ext xmlns:c16="http://schemas.microsoft.com/office/drawing/2014/chart" uri="{C3380CC4-5D6E-409C-BE32-E72D297353CC}">
                  <c16:uniqueId val="{00000001-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Tech'!$AQ$150:$AW$150</c:f>
              <c:numCache>
                <c:formatCode>General</c:formatCode>
                <c:ptCount val="7"/>
                <c:pt idx="0">
                  <c:v>10</c:v>
                </c:pt>
                <c:pt idx="1">
                  <c:v>10</c:v>
                </c:pt>
                <c:pt idx="2">
                  <c:v>7</c:v>
                </c:pt>
                <c:pt idx="3">
                  <c:v>8</c:v>
                </c:pt>
                <c:pt idx="4">
                  <c:v>9</c:v>
                </c:pt>
                <c:pt idx="5">
                  <c:v>10</c:v>
                </c:pt>
                <c:pt idx="6">
                  <c:v>11</c:v>
                </c:pt>
              </c:numCache>
            </c:numRef>
          </c:val>
          <c:smooth val="0"/>
          <c:extLst>
            <c:ext xmlns:c16="http://schemas.microsoft.com/office/drawing/2014/chart" uri="{C3380CC4-5D6E-409C-BE32-E72D297353CC}">
              <c16:uniqueId val="{00000002-E9B6-46CD-8815-5F7C8A3FAED6}"/>
            </c:ext>
          </c:extLst>
        </c:ser>
        <c:ser>
          <c:idx val="1"/>
          <c:order val="1"/>
          <c:tx>
            <c:strRef>
              <c:f>'Ch4. Grants leading Tech'!$AP$151</c:f>
              <c:strCache>
                <c:ptCount val="1"/>
                <c:pt idx="0">
                  <c:v>Digital communication</c:v>
                </c:pt>
              </c:strCache>
            </c:strRef>
          </c:tx>
          <c:spPr>
            <a:ln w="28575"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B6-46CD-8815-5F7C8A3FAED6}"/>
                </c:ext>
              </c:extLst>
            </c:dLbl>
            <c:dLbl>
              <c:idx val="4"/>
              <c:delete val="1"/>
              <c:extLst>
                <c:ext xmlns:c15="http://schemas.microsoft.com/office/drawing/2012/chart" uri="{CE6537A1-D6FC-4f65-9D91-7224C49458BB}">
                  <c15:layout>
                    <c:manualLayout>
                      <c:w val="0.23267967241398407"/>
                      <c:h val="0.10607407407407406"/>
                    </c:manualLayout>
                  </c15:layout>
                </c:ext>
                <c:ext xmlns:c16="http://schemas.microsoft.com/office/drawing/2014/chart" uri="{C3380CC4-5D6E-409C-BE32-E72D297353CC}">
                  <c16:uniqueId val="{00000004-E9B6-46CD-8815-5F7C8A3FAED6}"/>
                </c:ext>
              </c:extLst>
            </c:dLbl>
            <c:dLbl>
              <c:idx val="5"/>
              <c:layout>
                <c:manualLayout>
                  <c:x val="0.11276430057852116"/>
                  <c:y val="-3.7035578885973265E-3"/>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836958729137523"/>
                      <c:h val="0.10919388573320735"/>
                    </c:manualLayout>
                  </c15:layout>
                </c:ext>
                <c:ext xmlns:c16="http://schemas.microsoft.com/office/drawing/2014/chart" uri="{C3380CC4-5D6E-409C-BE32-E72D297353CC}">
                  <c16:uniqueId val="{00000005-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Tech'!$AQ$151:$AW$151</c:f>
              <c:numCache>
                <c:formatCode>General</c:formatCode>
                <c:ptCount val="7"/>
                <c:pt idx="0">
                  <c:v>7</c:v>
                </c:pt>
                <c:pt idx="1">
                  <c:v>7</c:v>
                </c:pt>
                <c:pt idx="2">
                  <c:v>8</c:v>
                </c:pt>
                <c:pt idx="3">
                  <c:v>7</c:v>
                </c:pt>
                <c:pt idx="4">
                  <c:v>7</c:v>
                </c:pt>
                <c:pt idx="5">
                  <c:v>7</c:v>
                </c:pt>
                <c:pt idx="6">
                  <c:v>7</c:v>
                </c:pt>
              </c:numCache>
            </c:numRef>
          </c:val>
          <c:smooth val="0"/>
          <c:extLst>
            <c:ext xmlns:c16="http://schemas.microsoft.com/office/drawing/2014/chart" uri="{C3380CC4-5D6E-409C-BE32-E72D297353CC}">
              <c16:uniqueId val="{00000006-E9B6-46CD-8815-5F7C8A3FAED6}"/>
            </c:ext>
          </c:extLst>
        </c:ser>
        <c:ser>
          <c:idx val="2"/>
          <c:order val="2"/>
          <c:tx>
            <c:strRef>
              <c:f>'Ch4. Grants leading Tech'!$AP$152</c:f>
              <c:strCache>
                <c:ptCount val="1"/>
                <c:pt idx="0">
                  <c:v>Medical technology</c:v>
                </c:pt>
              </c:strCache>
            </c:strRef>
          </c:tx>
          <c:spPr>
            <a:ln w="28575"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9B6-46CD-8815-5F7C8A3FAED6}"/>
                </c:ext>
              </c:extLst>
            </c:dLbl>
            <c:dLbl>
              <c:idx val="4"/>
              <c:delete val="1"/>
              <c:extLst>
                <c:ext xmlns:c15="http://schemas.microsoft.com/office/drawing/2012/chart" uri="{CE6537A1-D6FC-4f65-9D91-7224C49458BB}">
                  <c15:layout>
                    <c:manualLayout>
                      <c:w val="0.2431357268501429"/>
                      <c:h val="0.10607407407407406"/>
                    </c:manualLayout>
                  </c15:layout>
                </c:ext>
                <c:ext xmlns:c16="http://schemas.microsoft.com/office/drawing/2014/chart" uri="{C3380CC4-5D6E-409C-BE32-E72D297353CC}">
                  <c16:uniqueId val="{00000008-E9B6-46CD-8815-5F7C8A3FAED6}"/>
                </c:ext>
              </c:extLst>
            </c:dLbl>
            <c:dLbl>
              <c:idx val="5"/>
              <c:layout>
                <c:manualLayout>
                  <c:x val="0.11694075615550342"/>
                  <c:y val="-1.1110965296004666E-2"/>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923294000672603"/>
                      <c:h val="0.10919388573320735"/>
                    </c:manualLayout>
                  </c15:layout>
                </c:ext>
                <c:ext xmlns:c16="http://schemas.microsoft.com/office/drawing/2014/chart" uri="{C3380CC4-5D6E-409C-BE32-E72D297353CC}">
                  <c16:uniqueId val="{00000009-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Tech'!$AQ$152:$AW$152</c:f>
              <c:numCache>
                <c:formatCode>General</c:formatCode>
                <c:ptCount val="7"/>
                <c:pt idx="0">
                  <c:v>8</c:v>
                </c:pt>
                <c:pt idx="1">
                  <c:v>8</c:v>
                </c:pt>
                <c:pt idx="2">
                  <c:v>9</c:v>
                </c:pt>
                <c:pt idx="3">
                  <c:v>9</c:v>
                </c:pt>
                <c:pt idx="4">
                  <c:v>8</c:v>
                </c:pt>
                <c:pt idx="5">
                  <c:v>4</c:v>
                </c:pt>
                <c:pt idx="6">
                  <c:v>4</c:v>
                </c:pt>
              </c:numCache>
            </c:numRef>
          </c:val>
          <c:smooth val="0"/>
          <c:extLst>
            <c:ext xmlns:c16="http://schemas.microsoft.com/office/drawing/2014/chart" uri="{C3380CC4-5D6E-409C-BE32-E72D297353CC}">
              <c16:uniqueId val="{0000000A-E9B6-46CD-8815-5F7C8A3FAED6}"/>
            </c:ext>
          </c:extLst>
        </c:ser>
        <c:ser>
          <c:idx val="3"/>
          <c:order val="3"/>
          <c:tx>
            <c:strRef>
              <c:f>'Ch4. Grants leading Tech'!$AP$153</c:f>
              <c:strCache>
                <c:ptCount val="1"/>
                <c:pt idx="0">
                  <c:v>Measurement</c:v>
                </c:pt>
              </c:strCache>
            </c:strRef>
          </c:tx>
          <c:spPr>
            <a:ln w="28575"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9B6-46CD-8815-5F7C8A3FAED6}"/>
                </c:ext>
              </c:extLst>
            </c:dLbl>
            <c:dLbl>
              <c:idx val="5"/>
              <c:layout>
                <c:manualLayout>
                  <c:x val="0.11694075615550342"/>
                  <c:y val="6.296296296296295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Tech'!$AQ$153:$AW$153</c:f>
              <c:numCache>
                <c:formatCode>General</c:formatCode>
                <c:ptCount val="7"/>
                <c:pt idx="0">
                  <c:v>6</c:v>
                </c:pt>
                <c:pt idx="1">
                  <c:v>6</c:v>
                </c:pt>
                <c:pt idx="2">
                  <c:v>6</c:v>
                </c:pt>
                <c:pt idx="3">
                  <c:v>6</c:v>
                </c:pt>
                <c:pt idx="4">
                  <c:v>6</c:v>
                </c:pt>
                <c:pt idx="5">
                  <c:v>9</c:v>
                </c:pt>
                <c:pt idx="6">
                  <c:v>10</c:v>
                </c:pt>
              </c:numCache>
            </c:numRef>
          </c:val>
          <c:smooth val="0"/>
          <c:extLst>
            <c:ext xmlns:c16="http://schemas.microsoft.com/office/drawing/2014/chart" uri="{C3380CC4-5D6E-409C-BE32-E72D297353CC}">
              <c16:uniqueId val="{0000000D-E9B6-46CD-8815-5F7C8A3FAED6}"/>
            </c:ext>
          </c:extLst>
        </c:ser>
        <c:ser>
          <c:idx val="4"/>
          <c:order val="4"/>
          <c:tx>
            <c:strRef>
              <c:f>'Ch4. Grants leading Tech'!$AP$154</c:f>
              <c:strCache>
                <c:ptCount val="1"/>
                <c:pt idx="0">
                  <c:v>Audio-visual technology</c:v>
                </c:pt>
              </c:strCache>
            </c:strRef>
          </c:tx>
          <c:spPr>
            <a:ln w="28575"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B6-46CD-8815-5F7C8A3FAED6}"/>
                </c:ext>
              </c:extLst>
            </c:dLbl>
            <c:dLbl>
              <c:idx val="5"/>
              <c:layout>
                <c:manualLayout>
                  <c:x val="0.11279019789164615"/>
                  <c:y val="-0.1491224846894138"/>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763752706474756"/>
                      <c:h val="8.9434820647419075E-2"/>
                    </c:manualLayout>
                  </c15:layout>
                </c:ext>
                <c:ext xmlns:c16="http://schemas.microsoft.com/office/drawing/2014/chart" uri="{C3380CC4-5D6E-409C-BE32-E72D297353CC}">
                  <c16:uniqueId val="{0000000F-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Tech'!$AQ$154:$AW$154</c:f>
              <c:numCache>
                <c:formatCode>General</c:formatCode>
                <c:ptCount val="7"/>
                <c:pt idx="0">
                  <c:v>9</c:v>
                </c:pt>
                <c:pt idx="1">
                  <c:v>9</c:v>
                </c:pt>
                <c:pt idx="2">
                  <c:v>11</c:v>
                </c:pt>
                <c:pt idx="3">
                  <c:v>10</c:v>
                </c:pt>
                <c:pt idx="4">
                  <c:v>10</c:v>
                </c:pt>
                <c:pt idx="5">
                  <c:v>11</c:v>
                </c:pt>
                <c:pt idx="6">
                  <c:v>9</c:v>
                </c:pt>
              </c:numCache>
            </c:numRef>
          </c:val>
          <c:smooth val="0"/>
          <c:extLst>
            <c:ext xmlns:c16="http://schemas.microsoft.com/office/drawing/2014/chart" uri="{C3380CC4-5D6E-409C-BE32-E72D297353CC}">
              <c16:uniqueId val="{00000010-E9B6-46CD-8815-5F7C8A3FAED6}"/>
            </c:ext>
          </c:extLst>
        </c:ser>
        <c:ser>
          <c:idx val="5"/>
          <c:order val="5"/>
          <c:tx>
            <c:strRef>
              <c:f>'Ch4. Grants leading Tech'!$AP$155</c:f>
              <c:strCache>
                <c:ptCount val="1"/>
                <c:pt idx="0">
                  <c:v>Civil engineering</c:v>
                </c:pt>
              </c:strCache>
            </c:strRef>
          </c:tx>
          <c:spPr>
            <a:ln w="28575"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9B6-46CD-8815-5F7C8A3FAED6}"/>
                </c:ext>
              </c:extLst>
            </c:dLbl>
            <c:dLbl>
              <c:idx val="4"/>
              <c:delete val="1"/>
              <c:extLst>
                <c:ext xmlns:c15="http://schemas.microsoft.com/office/drawing/2012/chart" uri="{CE6537A1-D6FC-4f65-9D91-7224C49458BB}">
                  <c15:layout>
                    <c:manualLayout>
                      <c:w val="0.26194185530869063"/>
                      <c:h val="9.2481481481481484E-2"/>
                    </c:manualLayout>
                  </c15:layout>
                </c:ext>
                <c:ext xmlns:c16="http://schemas.microsoft.com/office/drawing/2014/chart" uri="{C3380CC4-5D6E-409C-BE32-E72D297353CC}">
                  <c16:uniqueId val="{00000012-E9B6-46CD-8815-5F7C8A3FAED6}"/>
                </c:ext>
              </c:extLst>
            </c:dLbl>
            <c:dLbl>
              <c:idx val="5"/>
              <c:layout>
                <c:manualLayout>
                  <c:x val="0.11485252836701244"/>
                  <c:y val="0.2037037037037035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Tech'!$AQ$155:$AW$155</c:f>
              <c:numCache>
                <c:formatCode>General</c:formatCode>
                <c:ptCount val="7"/>
                <c:pt idx="0">
                  <c:v>4</c:v>
                </c:pt>
                <c:pt idx="1">
                  <c:v>4</c:v>
                </c:pt>
                <c:pt idx="2">
                  <c:v>5</c:v>
                </c:pt>
                <c:pt idx="3">
                  <c:v>5</c:v>
                </c:pt>
                <c:pt idx="4">
                  <c:v>4</c:v>
                </c:pt>
                <c:pt idx="5">
                  <c:v>5</c:v>
                </c:pt>
                <c:pt idx="6">
                  <c:v>8</c:v>
                </c:pt>
              </c:numCache>
            </c:numRef>
          </c:val>
          <c:smooth val="0"/>
          <c:extLst>
            <c:ext xmlns:c16="http://schemas.microsoft.com/office/drawing/2014/chart" uri="{C3380CC4-5D6E-409C-BE32-E72D297353CC}">
              <c16:uniqueId val="{00000014-E9B6-46CD-8815-5F7C8A3FAED6}"/>
            </c:ext>
          </c:extLst>
        </c:ser>
        <c:ser>
          <c:idx val="6"/>
          <c:order val="6"/>
          <c:tx>
            <c:strRef>
              <c:f>'Ch4. Grants leading Tech'!$AP$156</c:f>
              <c:strCache>
                <c:ptCount val="1"/>
                <c:pt idx="0">
                  <c:v>Transport</c:v>
                </c:pt>
              </c:strCache>
            </c:strRef>
          </c:tx>
          <c:spPr>
            <a:ln w="28575"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9B6-46CD-8815-5F7C8A3FAED6}"/>
                </c:ext>
              </c:extLst>
            </c:dLbl>
            <c:dLbl>
              <c:idx val="5"/>
              <c:layout>
                <c:manualLayout>
                  <c:x val="0.11902898394399472"/>
                  <c:y val="-8.14814814814815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Tech'!$AQ$156:$AW$156</c:f>
              <c:numCache>
                <c:formatCode>General</c:formatCode>
                <c:ptCount val="7"/>
                <c:pt idx="0">
                  <c:v>2</c:v>
                </c:pt>
                <c:pt idx="1">
                  <c:v>2</c:v>
                </c:pt>
                <c:pt idx="2">
                  <c:v>4</c:v>
                </c:pt>
                <c:pt idx="3">
                  <c:v>4</c:v>
                </c:pt>
                <c:pt idx="4">
                  <c:v>5</c:v>
                </c:pt>
                <c:pt idx="5">
                  <c:v>6</c:v>
                </c:pt>
                <c:pt idx="6">
                  <c:v>5</c:v>
                </c:pt>
              </c:numCache>
            </c:numRef>
          </c:val>
          <c:smooth val="0"/>
          <c:extLst>
            <c:ext xmlns:c16="http://schemas.microsoft.com/office/drawing/2014/chart" uri="{C3380CC4-5D6E-409C-BE32-E72D297353CC}">
              <c16:uniqueId val="{00000017-E9B6-46CD-8815-5F7C8A3FAED6}"/>
            </c:ext>
          </c:extLst>
        </c:ser>
        <c:ser>
          <c:idx val="7"/>
          <c:order val="7"/>
          <c:tx>
            <c:strRef>
              <c:f>'Ch4. Grants leading Tech'!$AP$157</c:f>
              <c:strCache>
                <c:ptCount val="1"/>
                <c:pt idx="0">
                  <c:v>Semiconductors</c:v>
                </c:pt>
              </c:strCache>
            </c:strRef>
          </c:tx>
          <c:spPr>
            <a:ln w="28575"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9B6-46CD-8815-5F7C8A3FAED6}"/>
                </c:ext>
              </c:extLst>
            </c:dLbl>
            <c:dLbl>
              <c:idx val="5"/>
              <c:layout>
                <c:manualLayout>
                  <c:x val="0.11485252836701244"/>
                  <c:y val="-6.7900450176106624E-1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Tech'!$AQ$157:$AW$157</c:f>
              <c:numCache>
                <c:formatCode>General</c:formatCode>
                <c:ptCount val="7"/>
                <c:pt idx="0">
                  <c:v>5</c:v>
                </c:pt>
                <c:pt idx="1">
                  <c:v>5</c:v>
                </c:pt>
                <c:pt idx="2">
                  <c:v>2</c:v>
                </c:pt>
                <c:pt idx="3">
                  <c:v>3</c:v>
                </c:pt>
                <c:pt idx="4">
                  <c:v>3</c:v>
                </c:pt>
                <c:pt idx="5">
                  <c:v>3</c:v>
                </c:pt>
                <c:pt idx="6">
                  <c:v>3</c:v>
                </c:pt>
              </c:numCache>
            </c:numRef>
          </c:val>
          <c:smooth val="0"/>
          <c:extLst>
            <c:ext xmlns:c16="http://schemas.microsoft.com/office/drawing/2014/chart" uri="{C3380CC4-5D6E-409C-BE32-E72D297353CC}">
              <c16:uniqueId val="{0000001A-E9B6-46CD-8815-5F7C8A3FAED6}"/>
            </c:ext>
          </c:extLst>
        </c:ser>
        <c:ser>
          <c:idx val="8"/>
          <c:order val="8"/>
          <c:tx>
            <c:strRef>
              <c:f>'Ch4. Grants leading Tech'!$AP$158</c:f>
              <c:strCache>
                <c:ptCount val="1"/>
                <c:pt idx="0">
                  <c:v>Computer technology</c:v>
                </c:pt>
              </c:strCache>
            </c:strRef>
          </c:tx>
          <c:spPr>
            <a:ln w="28575"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9B6-46CD-8815-5F7C8A3FAED6}"/>
                </c:ext>
              </c:extLst>
            </c:dLbl>
            <c:dLbl>
              <c:idx val="4"/>
              <c:delete val="1"/>
              <c:extLst>
                <c:ext xmlns:c15="http://schemas.microsoft.com/office/drawing/2012/chart" uri="{CE6537A1-D6FC-4f65-9D91-7224C49458BB}">
                  <c15:layout>
                    <c:manualLayout>
                      <c:w val="0.26519304261486726"/>
                      <c:h val="0.10607407407407406"/>
                    </c:manualLayout>
                  </c15:layout>
                </c:ext>
                <c:ext xmlns:c16="http://schemas.microsoft.com/office/drawing/2014/chart" uri="{C3380CC4-5D6E-409C-BE32-E72D297353CC}">
                  <c16:uniqueId val="{0000001C-E9B6-46CD-8815-5F7C8A3FAED6}"/>
                </c:ext>
              </c:extLst>
            </c:dLbl>
            <c:dLbl>
              <c:idx val="5"/>
              <c:layout>
                <c:manualLayout>
                  <c:x val="0.11276421836482885"/>
                  <c:y val="7.7343248760571252E-3"/>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743786950524677"/>
                      <c:h val="0.10450434385290551"/>
                    </c:manualLayout>
                  </c15:layout>
                </c:ext>
                <c:ext xmlns:c16="http://schemas.microsoft.com/office/drawing/2014/chart" uri="{C3380CC4-5D6E-409C-BE32-E72D297353CC}">
                  <c16:uniqueId val="{0000001D-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Tech'!$AQ$158:$AW$158</c:f>
              <c:numCache>
                <c:formatCode>General</c:formatCode>
                <c:ptCount val="7"/>
                <c:pt idx="0">
                  <c:v>3</c:v>
                </c:pt>
                <c:pt idx="1">
                  <c:v>3</c:v>
                </c:pt>
                <c:pt idx="2">
                  <c:v>3</c:v>
                </c:pt>
                <c:pt idx="3">
                  <c:v>2</c:v>
                </c:pt>
                <c:pt idx="4">
                  <c:v>2</c:v>
                </c:pt>
                <c:pt idx="5">
                  <c:v>2</c:v>
                </c:pt>
                <c:pt idx="6">
                  <c:v>2</c:v>
                </c:pt>
              </c:numCache>
            </c:numRef>
          </c:val>
          <c:smooth val="0"/>
          <c:extLst>
            <c:ext xmlns:c16="http://schemas.microsoft.com/office/drawing/2014/chart" uri="{C3380CC4-5D6E-409C-BE32-E72D297353CC}">
              <c16:uniqueId val="{0000001E-E9B6-46CD-8815-5F7C8A3FAED6}"/>
            </c:ext>
          </c:extLst>
        </c:ser>
        <c:ser>
          <c:idx val="9"/>
          <c:order val="9"/>
          <c:tx>
            <c:strRef>
              <c:f>'Ch4. Grants leading Tech'!$AP$159</c:f>
              <c:strCache>
                <c:ptCount val="1"/>
                <c:pt idx="0">
                  <c:v>IT methods for management</c:v>
                </c:pt>
              </c:strCache>
            </c:strRef>
          </c:tx>
          <c:spPr>
            <a:ln w="28575" cap="rnd">
              <a:solidFill>
                <a:schemeClr val="accent4">
                  <a:lumMod val="60000"/>
                </a:schemeClr>
              </a:solidFill>
              <a:round/>
            </a:ln>
            <a:effectLst/>
          </c:spPr>
          <c:marker>
            <c:symbol val="none"/>
          </c:marker>
          <c:dLbls>
            <c:dLbl>
              <c:idx val="4"/>
              <c:delete val="1"/>
              <c:extLst>
                <c:ext xmlns:c15="http://schemas.microsoft.com/office/drawing/2012/chart" uri="{CE6537A1-D6FC-4f65-9D91-7224C49458BB}">
                  <c15:layout>
                    <c:manualLayout>
                      <c:w val="0.25094225007825072"/>
                      <c:h val="0.10607407407407406"/>
                    </c:manualLayout>
                  </c15:layout>
                </c:ext>
                <c:ext xmlns:c16="http://schemas.microsoft.com/office/drawing/2014/chart" uri="{C3380CC4-5D6E-409C-BE32-E72D297353CC}">
                  <c16:uniqueId val="{0000001F-E9B6-46CD-8815-5F7C8A3FAED6}"/>
                </c:ext>
              </c:extLst>
            </c:dLbl>
            <c:dLbl>
              <c:idx val="5"/>
              <c:layout>
                <c:manualLayout>
                  <c:x val="0.11900308663086973"/>
                  <c:y val="-0.15477559055118109"/>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456472782663825"/>
                      <c:h val="0.10919393409157187"/>
                    </c:manualLayout>
                  </c15:layout>
                </c:ext>
                <c:ext xmlns:c16="http://schemas.microsoft.com/office/drawing/2014/chart" uri="{C3380CC4-5D6E-409C-BE32-E72D297353CC}">
                  <c16:uniqueId val="{00000020-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Tech'!$AQ$159:$AW$159</c:f>
              <c:numCache>
                <c:formatCode>General</c:formatCode>
                <c:ptCount val="7"/>
                <c:pt idx="0">
                  <c:v>11</c:v>
                </c:pt>
                <c:pt idx="1">
                  <c:v>11</c:v>
                </c:pt>
                <c:pt idx="2">
                  <c:v>11</c:v>
                </c:pt>
                <c:pt idx="3">
                  <c:v>11</c:v>
                </c:pt>
                <c:pt idx="4">
                  <c:v>11</c:v>
                </c:pt>
                <c:pt idx="5">
                  <c:v>8</c:v>
                </c:pt>
                <c:pt idx="6">
                  <c:v>6</c:v>
                </c:pt>
              </c:numCache>
            </c:numRef>
          </c:val>
          <c:smooth val="0"/>
          <c:extLst>
            <c:ext xmlns:c16="http://schemas.microsoft.com/office/drawing/2014/chart" uri="{C3380CC4-5D6E-409C-BE32-E72D297353CC}">
              <c16:uniqueId val="{00000021-E9B6-46CD-8815-5F7C8A3FAED6}"/>
            </c:ext>
          </c:extLst>
        </c:ser>
        <c:ser>
          <c:idx val="11"/>
          <c:order val="10"/>
          <c:tx>
            <c:strRef>
              <c:f>'Ch4. Grants leading Tech'!$AP$160</c:f>
              <c:strCache>
                <c:ptCount val="1"/>
                <c:pt idx="0">
                  <c:v>Optics</c:v>
                </c:pt>
              </c:strCache>
            </c:strRef>
          </c:tx>
          <c:spPr>
            <a:ln w="28575" cap="rnd">
              <a:solidFill>
                <a:schemeClr val="accent6">
                  <a:lumMod val="60000"/>
                </a:schemeClr>
              </a:solidFill>
              <a:round/>
            </a:ln>
            <a:effectLst/>
          </c:spPr>
          <c:marker>
            <c:symbol val="none"/>
          </c:marker>
          <c:dLbls>
            <c:dLbl>
              <c:idx val="5"/>
              <c:layout>
                <c:manualLayout>
                  <c:x val="0.11380841447276688"/>
                  <c:y val="1.111096529600453E-2"/>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9.604499522502874E-2"/>
                      <c:h val="9.6842228054826465E-2"/>
                    </c:manualLayout>
                  </c15:layout>
                </c:ext>
                <c:ext xmlns:c16="http://schemas.microsoft.com/office/drawing/2014/chart" uri="{C3380CC4-5D6E-409C-BE32-E72D297353CC}">
                  <c16:uniqueId val="{00000022-E9B6-46CD-8815-5F7C8A3FAED6}"/>
                </c:ext>
              </c:extLst>
            </c:dLbl>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Tech'!$AQ$160:$AW$160</c:f>
              <c:numCache>
                <c:formatCode>General</c:formatCode>
                <c:ptCount val="7"/>
                <c:pt idx="0">
                  <c:v>11</c:v>
                </c:pt>
                <c:pt idx="1">
                  <c:v>11</c:v>
                </c:pt>
                <c:pt idx="2">
                  <c:v>10</c:v>
                </c:pt>
                <c:pt idx="3">
                  <c:v>11</c:v>
                </c:pt>
                <c:pt idx="4">
                  <c:v>11</c:v>
                </c:pt>
                <c:pt idx="5">
                  <c:v>11</c:v>
                </c:pt>
                <c:pt idx="6">
                  <c:v>11</c:v>
                </c:pt>
              </c:numCache>
            </c:numRef>
          </c:val>
          <c:smooth val="0"/>
          <c:extLst>
            <c:ext xmlns:c16="http://schemas.microsoft.com/office/drawing/2014/chart" uri="{C3380CC4-5D6E-409C-BE32-E72D297353CC}">
              <c16:uniqueId val="{00000023-E9B6-46CD-8815-5F7C8A3FAED6}"/>
            </c:ext>
          </c:extLst>
        </c:ser>
        <c:ser>
          <c:idx val="10"/>
          <c:order val="11"/>
          <c:tx>
            <c:strRef>
              <c:f>'Ch4. Grants leading Tech'!$AP$161</c:f>
              <c:strCache>
                <c:ptCount val="1"/>
                <c:pt idx="0">
                  <c:v>Electrical machinery, apparatus, energy</c:v>
                </c:pt>
              </c:strCache>
            </c:strRef>
          </c:tx>
          <c:spPr>
            <a:ln w="28575"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E9B6-46CD-8815-5F7C8A3FAED6}"/>
                </c:ext>
              </c:extLst>
            </c:dLbl>
            <c:dLbl>
              <c:idx val="5"/>
              <c:layout>
                <c:manualLayout>
                  <c:x val="0.10858784500153904"/>
                  <c:y val="-2.339195100612423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E9B6-46CD-8815-5F7C8A3FAED6}"/>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Tech'!$AQ$149:$AW$149</c:f>
              <c:numCache>
                <c:formatCode>General</c:formatCode>
                <c:ptCount val="7"/>
                <c:pt idx="0">
                  <c:v>2016</c:v>
                </c:pt>
                <c:pt idx="1">
                  <c:v>2017</c:v>
                </c:pt>
                <c:pt idx="2">
                  <c:v>2018</c:v>
                </c:pt>
                <c:pt idx="3">
                  <c:v>2019</c:v>
                </c:pt>
                <c:pt idx="4">
                  <c:v>2020</c:v>
                </c:pt>
                <c:pt idx="5">
                  <c:v>2021</c:v>
                </c:pt>
                <c:pt idx="6">
                  <c:v>2022</c:v>
                </c:pt>
              </c:numCache>
            </c:numRef>
          </c:cat>
          <c:val>
            <c:numRef>
              <c:f>'Ch4. Grants leading Tech'!$AQ$161:$AW$161</c:f>
              <c:numCache>
                <c:formatCode>General</c:formatCode>
                <c:ptCount val="7"/>
                <c:pt idx="0">
                  <c:v>1</c:v>
                </c:pt>
                <c:pt idx="1">
                  <c:v>1</c:v>
                </c:pt>
                <c:pt idx="2">
                  <c:v>1</c:v>
                </c:pt>
                <c:pt idx="3">
                  <c:v>1</c:v>
                </c:pt>
                <c:pt idx="4">
                  <c:v>1</c:v>
                </c:pt>
                <c:pt idx="5">
                  <c:v>1</c:v>
                </c:pt>
                <c:pt idx="6">
                  <c:v>1</c:v>
                </c:pt>
              </c:numCache>
            </c:numRef>
          </c:val>
          <c:smooth val="0"/>
          <c:extLst>
            <c:ext xmlns:c16="http://schemas.microsoft.com/office/drawing/2014/chart" uri="{C3380CC4-5D6E-409C-BE32-E72D297353CC}">
              <c16:uniqueId val="{00000026-E9B6-46CD-8815-5F7C8A3FAED6}"/>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CNIPA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Grants leading Tech'!$BB$150</c:f>
              <c:strCache>
                <c:ptCount val="1"/>
                <c:pt idx="0">
                  <c:v>Materials, metallurgy</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4D-459D-9003-A4DF1D32A4C8}"/>
                </c:ext>
              </c:extLst>
            </c:dLbl>
            <c:dLbl>
              <c:idx val="4"/>
              <c:delete val="1"/>
              <c:extLst>
                <c:ext xmlns:c15="http://schemas.microsoft.com/office/drawing/2012/chart" uri="{CE6537A1-D6FC-4f65-9D91-7224C49458BB}">
                  <c15:layout>
                    <c:manualLayout>
                      <c:w val="0.22811552327947973"/>
                      <c:h val="0.10644369351375568"/>
                    </c:manualLayout>
                  </c15:layout>
                </c:ext>
                <c:ext xmlns:c16="http://schemas.microsoft.com/office/drawing/2014/chart" uri="{C3380CC4-5D6E-409C-BE32-E72D297353CC}">
                  <c16:uniqueId val="{00000001-D34D-459D-9003-A4DF1D32A4C8}"/>
                </c:ext>
              </c:extLst>
            </c:dLbl>
            <c:dLbl>
              <c:idx val="5"/>
              <c:layout>
                <c:manualLayout>
                  <c:x val="0.13390889264006131"/>
                  <c:y val="-0.14680607171066168"/>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29629645494436"/>
                      <c:h val="0.10000166808453853"/>
                    </c:manualLayout>
                  </c15:layout>
                </c:ext>
                <c:ext xmlns:c16="http://schemas.microsoft.com/office/drawing/2014/chart" uri="{C3380CC4-5D6E-409C-BE32-E72D297353CC}">
                  <c16:uniqueId val="{00000002-D34D-459D-9003-A4DF1D32A4C8}"/>
                </c:ext>
              </c:extLst>
            </c:dLbl>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Tech'!$BC$150:$BI$150</c:f>
              <c:numCache>
                <c:formatCode>General</c:formatCode>
                <c:ptCount val="7"/>
                <c:pt idx="0">
                  <c:v>7</c:v>
                </c:pt>
                <c:pt idx="1">
                  <c:v>7</c:v>
                </c:pt>
                <c:pt idx="2">
                  <c:v>7</c:v>
                </c:pt>
                <c:pt idx="3">
                  <c:v>9</c:v>
                </c:pt>
                <c:pt idx="4">
                  <c:v>9</c:v>
                </c:pt>
                <c:pt idx="5">
                  <c:v>10</c:v>
                </c:pt>
                <c:pt idx="6">
                  <c:v>8</c:v>
                </c:pt>
              </c:numCache>
            </c:numRef>
          </c:val>
          <c:smooth val="0"/>
          <c:extLst>
            <c:ext xmlns:c16="http://schemas.microsoft.com/office/drawing/2014/chart" uri="{C3380CC4-5D6E-409C-BE32-E72D297353CC}">
              <c16:uniqueId val="{00000003-D34D-459D-9003-A4DF1D32A4C8}"/>
            </c:ext>
          </c:extLst>
        </c:ser>
        <c:ser>
          <c:idx val="1"/>
          <c:order val="1"/>
          <c:tx>
            <c:strRef>
              <c:f>'Ch4. Grants leading Tech'!$BB$151</c:f>
              <c:strCache>
                <c:ptCount val="1"/>
                <c:pt idx="0">
                  <c:v>Transport</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4D-459D-9003-A4DF1D32A4C8}"/>
                </c:ext>
              </c:extLst>
            </c:dLbl>
            <c:dLbl>
              <c:idx val="5"/>
              <c:layout>
                <c:manualLayout>
                  <c:x val="0.13390872789015004"/>
                  <c:y val="-0.14866437641585997"/>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17752396040334734"/>
                      <c:h val="6.7139232089966527E-2"/>
                    </c:manualLayout>
                  </c15:layout>
                </c:ext>
                <c:ext xmlns:c16="http://schemas.microsoft.com/office/drawing/2014/chart" uri="{C3380CC4-5D6E-409C-BE32-E72D297353CC}">
                  <c16:uniqueId val="{00000005-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Tech'!$BC$151:$BI$151</c:f>
              <c:numCache>
                <c:formatCode>General</c:formatCode>
                <c:ptCount val="7"/>
                <c:pt idx="0">
                  <c:v>8</c:v>
                </c:pt>
                <c:pt idx="1">
                  <c:v>8</c:v>
                </c:pt>
                <c:pt idx="2">
                  <c:v>8</c:v>
                </c:pt>
                <c:pt idx="3">
                  <c:v>7</c:v>
                </c:pt>
                <c:pt idx="4">
                  <c:v>7</c:v>
                </c:pt>
                <c:pt idx="5">
                  <c:v>9</c:v>
                </c:pt>
                <c:pt idx="6">
                  <c:v>7</c:v>
                </c:pt>
              </c:numCache>
            </c:numRef>
          </c:val>
          <c:smooth val="0"/>
          <c:extLst>
            <c:ext xmlns:c16="http://schemas.microsoft.com/office/drawing/2014/chart" uri="{C3380CC4-5D6E-409C-BE32-E72D297353CC}">
              <c16:uniqueId val="{00000006-D34D-459D-9003-A4DF1D32A4C8}"/>
            </c:ext>
          </c:extLst>
        </c:ser>
        <c:ser>
          <c:idx val="2"/>
          <c:order val="2"/>
          <c:tx>
            <c:strRef>
              <c:f>'Ch4. Grants leading Tech'!$BB$152</c:f>
              <c:strCache>
                <c:ptCount val="1"/>
                <c:pt idx="0">
                  <c:v>Civil engineering</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4D-459D-9003-A4DF1D32A4C8}"/>
                </c:ext>
              </c:extLst>
            </c:dLbl>
            <c:dLbl>
              <c:idx val="4"/>
              <c:delete val="1"/>
              <c:extLst>
                <c:ext xmlns:c15="http://schemas.microsoft.com/office/drawing/2012/chart" uri="{CE6537A1-D6FC-4f65-9D91-7224C49458BB}">
                  <c15:layout>
                    <c:manualLayout>
                      <c:w val="0.24855638887410067"/>
                      <c:h val="0.10644369351375568"/>
                    </c:manualLayout>
                  </c15:layout>
                </c:ext>
                <c:ext xmlns:c16="http://schemas.microsoft.com/office/drawing/2014/chart" uri="{C3380CC4-5D6E-409C-BE32-E72D297353CC}">
                  <c16:uniqueId val="{00000008-D34D-459D-9003-A4DF1D32A4C8}"/>
                </c:ext>
              </c:extLst>
            </c:dLbl>
            <c:dLbl>
              <c:idx val="5"/>
              <c:layout>
                <c:manualLayout>
                  <c:x val="0.13600105176343363"/>
                  <c:y val="0.27874570577973734"/>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Tech'!$BC$152:$BI$152</c:f>
              <c:numCache>
                <c:formatCode>General</c:formatCode>
                <c:ptCount val="7"/>
                <c:pt idx="0">
                  <c:v>6</c:v>
                </c:pt>
                <c:pt idx="1">
                  <c:v>6</c:v>
                </c:pt>
                <c:pt idx="2">
                  <c:v>6</c:v>
                </c:pt>
                <c:pt idx="3">
                  <c:v>6</c:v>
                </c:pt>
                <c:pt idx="4">
                  <c:v>6</c:v>
                </c:pt>
                <c:pt idx="5">
                  <c:v>6</c:v>
                </c:pt>
                <c:pt idx="6">
                  <c:v>10</c:v>
                </c:pt>
              </c:numCache>
            </c:numRef>
          </c:val>
          <c:smooth val="0"/>
          <c:extLst>
            <c:ext xmlns:c16="http://schemas.microsoft.com/office/drawing/2014/chart" uri="{C3380CC4-5D6E-409C-BE32-E72D297353CC}">
              <c16:uniqueId val="{0000000A-D34D-459D-9003-A4DF1D32A4C8}"/>
            </c:ext>
          </c:extLst>
        </c:ser>
        <c:ser>
          <c:idx val="3"/>
          <c:order val="3"/>
          <c:tx>
            <c:strRef>
              <c:f>'Ch4. Grants leading Tech'!$BB$153</c:f>
              <c:strCache>
                <c:ptCount val="1"/>
                <c:pt idx="0">
                  <c:v>Chemical engineering</c:v>
                </c:pt>
              </c:strCache>
            </c:strRef>
          </c:tx>
          <c:spPr>
            <a:ln w="38100" cap="rnd">
              <a:solidFill>
                <a:schemeClr val="accent4"/>
              </a:solidFill>
              <a:round/>
            </a:ln>
            <a:effectLst/>
          </c:spPr>
          <c:marker>
            <c:symbol val="none"/>
          </c:marker>
          <c:dLbls>
            <c:dLbl>
              <c:idx val="5"/>
              <c:layout>
                <c:manualLayout>
                  <c:x val="0.13390881026510568"/>
                  <c:y val="-0.14494776700546341"/>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643420784164545"/>
                      <c:h val="0.11173862608627264"/>
                    </c:manualLayout>
                  </c15:layout>
                </c:ext>
                <c:ext xmlns:c16="http://schemas.microsoft.com/office/drawing/2014/chart" uri="{C3380CC4-5D6E-409C-BE32-E72D297353CC}">
                  <c16:uniqueId val="{0000000B-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Tech'!$BC$153:$BI$153</c:f>
              <c:numCache>
                <c:formatCode>General</c:formatCode>
                <c:ptCount val="7"/>
                <c:pt idx="0">
                  <c:v>11</c:v>
                </c:pt>
                <c:pt idx="1">
                  <c:v>11</c:v>
                </c:pt>
                <c:pt idx="2">
                  <c:v>9</c:v>
                </c:pt>
                <c:pt idx="3">
                  <c:v>10</c:v>
                </c:pt>
                <c:pt idx="4">
                  <c:v>8</c:v>
                </c:pt>
                <c:pt idx="5">
                  <c:v>8</c:v>
                </c:pt>
                <c:pt idx="6">
                  <c:v>6</c:v>
                </c:pt>
              </c:numCache>
            </c:numRef>
          </c:val>
          <c:smooth val="0"/>
          <c:extLst>
            <c:ext xmlns:c16="http://schemas.microsoft.com/office/drawing/2014/chart" uri="{C3380CC4-5D6E-409C-BE32-E72D297353CC}">
              <c16:uniqueId val="{0000000C-D34D-459D-9003-A4DF1D32A4C8}"/>
            </c:ext>
          </c:extLst>
        </c:ser>
        <c:ser>
          <c:idx val="4"/>
          <c:order val="4"/>
          <c:tx>
            <c:strRef>
              <c:f>'Ch4. Grants leading Tech'!$BB$154</c:f>
              <c:strCache>
                <c:ptCount val="1"/>
                <c:pt idx="0">
                  <c:v>Other special machines</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34D-459D-9003-A4DF1D32A4C8}"/>
                </c:ext>
              </c:extLst>
            </c:dLbl>
            <c:dLbl>
              <c:idx val="5"/>
              <c:layout>
                <c:manualLayout>
                  <c:x val="0.13390881026510568"/>
                  <c:y val="0.1300816220102877"/>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3707298058619991"/>
                      <c:h val="9.5831164091817231E-2"/>
                    </c:manualLayout>
                  </c15:layout>
                </c:ext>
                <c:ext xmlns:c16="http://schemas.microsoft.com/office/drawing/2014/chart" uri="{C3380CC4-5D6E-409C-BE32-E72D297353CC}">
                  <c16:uniqueId val="{0000000E-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Tech'!$BC$154:$BI$154</c:f>
              <c:numCache>
                <c:formatCode>General</c:formatCode>
                <c:ptCount val="7"/>
                <c:pt idx="0">
                  <c:v>9</c:v>
                </c:pt>
                <c:pt idx="1">
                  <c:v>9</c:v>
                </c:pt>
                <c:pt idx="2">
                  <c:v>11</c:v>
                </c:pt>
                <c:pt idx="3">
                  <c:v>11</c:v>
                </c:pt>
                <c:pt idx="4">
                  <c:v>10</c:v>
                </c:pt>
                <c:pt idx="5">
                  <c:v>7</c:v>
                </c:pt>
                <c:pt idx="6">
                  <c:v>9</c:v>
                </c:pt>
              </c:numCache>
            </c:numRef>
          </c:val>
          <c:smooth val="0"/>
          <c:extLst>
            <c:ext xmlns:c16="http://schemas.microsoft.com/office/drawing/2014/chart" uri="{C3380CC4-5D6E-409C-BE32-E72D297353CC}">
              <c16:uniqueId val="{0000000F-D34D-459D-9003-A4DF1D32A4C8}"/>
            </c:ext>
          </c:extLst>
        </c:ser>
        <c:ser>
          <c:idx val="5"/>
          <c:order val="5"/>
          <c:tx>
            <c:strRef>
              <c:f>'Ch4. Grants leading Tech'!$BB$155</c:f>
              <c:strCache>
                <c:ptCount val="1"/>
                <c:pt idx="0">
                  <c:v>Handling</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34D-459D-9003-A4DF1D32A4C8}"/>
                </c:ext>
              </c:extLst>
            </c:dLbl>
            <c:dLbl>
              <c:idx val="5"/>
              <c:layout>
                <c:manualLayout>
                  <c:x val="0.13390872789015004"/>
                  <c:y val="3.790561158271080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Tech'!$BC$155:$BI$155</c:f>
              <c:numCache>
                <c:formatCode>General</c:formatCode>
                <c:ptCount val="7"/>
                <c:pt idx="0">
                  <c:v>10</c:v>
                </c:pt>
                <c:pt idx="1">
                  <c:v>10</c:v>
                </c:pt>
                <c:pt idx="2">
                  <c:v>10</c:v>
                </c:pt>
                <c:pt idx="3">
                  <c:v>11</c:v>
                </c:pt>
                <c:pt idx="4">
                  <c:v>11</c:v>
                </c:pt>
                <c:pt idx="5">
                  <c:v>11</c:v>
                </c:pt>
                <c:pt idx="6">
                  <c:v>11</c:v>
                </c:pt>
              </c:numCache>
            </c:numRef>
          </c:val>
          <c:smooth val="0"/>
          <c:extLst>
            <c:ext xmlns:c16="http://schemas.microsoft.com/office/drawing/2014/chart" uri="{C3380CC4-5D6E-409C-BE32-E72D297353CC}">
              <c16:uniqueId val="{00000012-D34D-459D-9003-A4DF1D32A4C8}"/>
            </c:ext>
          </c:extLst>
        </c:ser>
        <c:ser>
          <c:idx val="6"/>
          <c:order val="6"/>
          <c:tx>
            <c:strRef>
              <c:f>'Ch4. Grants leading Tech'!$BB$156</c:f>
              <c:strCache>
                <c:ptCount val="1"/>
                <c:pt idx="0">
                  <c:v>Digital communication</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34D-459D-9003-A4DF1D32A4C8}"/>
                </c:ext>
              </c:extLst>
            </c:dLbl>
            <c:dLbl>
              <c:idx val="5"/>
              <c:layout>
                <c:manualLayout>
                  <c:x val="0.12344710852373206"/>
                  <c:y val="-7.4333651439981293E-3"/>
                </c:manualLayout>
              </c:layout>
              <c:showLegendKey val="0"/>
              <c:showVal val="0"/>
              <c:showCatName val="0"/>
              <c:showSerName val="1"/>
              <c:showPercent val="0"/>
              <c:showBubbleSize val="0"/>
              <c:extLst>
                <c:ext xmlns:c15="http://schemas.microsoft.com/office/drawing/2012/chart" uri="{CE6537A1-D6FC-4f65-9D91-7224C49458BB}">
                  <c15:layout>
                    <c:manualLayout>
                      <c:w val="0.23555019715621883"/>
                      <c:h val="0.10644369351375568"/>
                    </c:manualLayout>
                  </c15:layout>
                </c:ext>
                <c:ext xmlns:c16="http://schemas.microsoft.com/office/drawing/2014/chart" uri="{C3380CC4-5D6E-409C-BE32-E72D297353CC}">
                  <c16:uniqueId val="{00000014-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Tech'!$BC$156:$BI$156</c:f>
              <c:numCache>
                <c:formatCode>General</c:formatCode>
                <c:ptCount val="7"/>
                <c:pt idx="0">
                  <c:v>5</c:v>
                </c:pt>
                <c:pt idx="1">
                  <c:v>5</c:v>
                </c:pt>
                <c:pt idx="2">
                  <c:v>4</c:v>
                </c:pt>
                <c:pt idx="3">
                  <c:v>4</c:v>
                </c:pt>
                <c:pt idx="4">
                  <c:v>4</c:v>
                </c:pt>
                <c:pt idx="5">
                  <c:v>3</c:v>
                </c:pt>
                <c:pt idx="6">
                  <c:v>3</c:v>
                </c:pt>
              </c:numCache>
            </c:numRef>
          </c:val>
          <c:smooth val="0"/>
          <c:extLst>
            <c:ext xmlns:c16="http://schemas.microsoft.com/office/drawing/2014/chart" uri="{C3380CC4-5D6E-409C-BE32-E72D297353CC}">
              <c16:uniqueId val="{00000015-D34D-459D-9003-A4DF1D32A4C8}"/>
            </c:ext>
          </c:extLst>
        </c:ser>
        <c:ser>
          <c:idx val="7"/>
          <c:order val="7"/>
          <c:tx>
            <c:strRef>
              <c:f>'Ch4. Grants leading Tech'!$BB$157</c:f>
              <c:strCache>
                <c:ptCount val="1"/>
                <c:pt idx="0">
                  <c:v>Machine tools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34D-459D-9003-A4DF1D32A4C8}"/>
                </c:ext>
              </c:extLst>
            </c:dLbl>
            <c:dLbl>
              <c:idx val="5"/>
              <c:layout>
                <c:manualLayout>
                  <c:x val="0.13600121651334476"/>
                  <c:y val="0"/>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0956023965181095"/>
                      <c:h val="0.11173854501472451"/>
                    </c:manualLayout>
                  </c15:layout>
                </c:ext>
                <c:ext xmlns:c16="http://schemas.microsoft.com/office/drawing/2014/chart" uri="{C3380CC4-5D6E-409C-BE32-E72D297353CC}">
                  <c16:uniqueId val="{00000017-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Tech'!$BC$157:$BI$157</c:f>
              <c:numCache>
                <c:formatCode>General</c:formatCode>
                <c:ptCount val="7"/>
                <c:pt idx="0">
                  <c:v>4</c:v>
                </c:pt>
                <c:pt idx="1">
                  <c:v>4</c:v>
                </c:pt>
                <c:pt idx="2">
                  <c:v>5</c:v>
                </c:pt>
                <c:pt idx="3">
                  <c:v>5</c:v>
                </c:pt>
                <c:pt idx="4">
                  <c:v>5</c:v>
                </c:pt>
                <c:pt idx="5">
                  <c:v>5</c:v>
                </c:pt>
                <c:pt idx="6">
                  <c:v>5</c:v>
                </c:pt>
              </c:numCache>
            </c:numRef>
          </c:val>
          <c:smooth val="0"/>
          <c:extLst>
            <c:ext xmlns:c16="http://schemas.microsoft.com/office/drawing/2014/chart" uri="{C3380CC4-5D6E-409C-BE32-E72D297353CC}">
              <c16:uniqueId val="{00000018-D34D-459D-9003-A4DF1D32A4C8}"/>
            </c:ext>
          </c:extLst>
        </c:ser>
        <c:ser>
          <c:idx val="8"/>
          <c:order val="8"/>
          <c:tx>
            <c:strRef>
              <c:f>'Ch4. Grants leading Tech'!$BB$158</c:f>
              <c:strCache>
                <c:ptCount val="1"/>
                <c:pt idx="0">
                  <c:v>Measurement</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34D-459D-9003-A4DF1D32A4C8}"/>
                </c:ext>
              </c:extLst>
            </c:dLbl>
            <c:dLbl>
              <c:idx val="5"/>
              <c:layout>
                <c:manualLayout>
                  <c:x val="0.13600105176343363"/>
                  <c:y val="-3.7166094103965319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Tech'!$BC$158:$BI$158</c:f>
              <c:numCache>
                <c:formatCode>General</c:formatCode>
                <c:ptCount val="7"/>
                <c:pt idx="0">
                  <c:v>3</c:v>
                </c:pt>
                <c:pt idx="1">
                  <c:v>3</c:v>
                </c:pt>
                <c:pt idx="2">
                  <c:v>3</c:v>
                </c:pt>
                <c:pt idx="3">
                  <c:v>3</c:v>
                </c:pt>
                <c:pt idx="4">
                  <c:v>2</c:v>
                </c:pt>
                <c:pt idx="5">
                  <c:v>2</c:v>
                </c:pt>
                <c:pt idx="6">
                  <c:v>2</c:v>
                </c:pt>
              </c:numCache>
            </c:numRef>
          </c:val>
          <c:smooth val="0"/>
          <c:extLst>
            <c:ext xmlns:c16="http://schemas.microsoft.com/office/drawing/2014/chart" uri="{C3380CC4-5D6E-409C-BE32-E72D297353CC}">
              <c16:uniqueId val="{0000001B-D34D-459D-9003-A4DF1D32A4C8}"/>
            </c:ext>
          </c:extLst>
        </c:ser>
        <c:ser>
          <c:idx val="9"/>
          <c:order val="9"/>
          <c:tx>
            <c:strRef>
              <c:f>'Ch4. Grants leading Tech'!$BB$159</c:f>
              <c:strCache>
                <c:ptCount val="1"/>
                <c:pt idx="0">
                  <c:v>Electrical machinery, apparatus, energy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34D-459D-9003-A4DF1D32A4C8}"/>
                </c:ext>
              </c:extLst>
            </c:dLbl>
            <c:dLbl>
              <c:idx val="5"/>
              <c:layout>
                <c:manualLayout>
                  <c:x val="0.13390872789015004"/>
                  <c:y val="-3.716609410396497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Tech'!$BC$159:$BI$159</c:f>
              <c:numCache>
                <c:formatCode>General</c:formatCode>
                <c:ptCount val="7"/>
                <c:pt idx="0">
                  <c:v>1</c:v>
                </c:pt>
                <c:pt idx="1">
                  <c:v>1</c:v>
                </c:pt>
                <c:pt idx="2">
                  <c:v>2</c:v>
                </c:pt>
                <c:pt idx="3">
                  <c:v>2</c:v>
                </c:pt>
                <c:pt idx="4">
                  <c:v>3</c:v>
                </c:pt>
                <c:pt idx="5">
                  <c:v>4</c:v>
                </c:pt>
                <c:pt idx="6">
                  <c:v>4</c:v>
                </c:pt>
              </c:numCache>
            </c:numRef>
          </c:val>
          <c:smooth val="0"/>
          <c:extLst>
            <c:ext xmlns:c16="http://schemas.microsoft.com/office/drawing/2014/chart" uri="{C3380CC4-5D6E-409C-BE32-E72D297353CC}">
              <c16:uniqueId val="{0000001E-D34D-459D-9003-A4DF1D32A4C8}"/>
            </c:ext>
          </c:extLst>
        </c:ser>
        <c:ser>
          <c:idx val="10"/>
          <c:order val="10"/>
          <c:tx>
            <c:strRef>
              <c:f>'Ch4. Grants leading Tech'!$BB$160</c:f>
              <c:strCache>
                <c:ptCount val="1"/>
                <c:pt idx="0">
                  <c:v>Audio-visual technology</c:v>
                </c:pt>
              </c:strCache>
            </c:strRef>
          </c:tx>
          <c:spPr>
            <a:ln w="28575" cap="rnd">
              <a:solidFill>
                <a:schemeClr val="accent5">
                  <a:lumMod val="60000"/>
                </a:schemeClr>
              </a:solidFill>
              <a:round/>
            </a:ln>
            <a:effectLst/>
          </c:spPr>
          <c:marker>
            <c:symbol val="none"/>
          </c:marker>
          <c:dLbls>
            <c:dLbl>
              <c:idx val="5"/>
              <c:layout>
                <c:manualLayout>
                  <c:x val="0.13551232115161507"/>
                  <c:y val="-1.0030748358326937E-2"/>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029268810238741"/>
                      <c:h val="8.572227914194902E-2"/>
                    </c:manualLayout>
                  </c15:layout>
                </c:ext>
                <c:ext xmlns:c16="http://schemas.microsoft.com/office/drawing/2014/chart" uri="{C3380CC4-5D6E-409C-BE32-E72D297353CC}">
                  <c16:uniqueId val="{0000001F-D34D-459D-9003-A4DF1D32A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Tech'!$BC$160:$BI$160</c:f>
              <c:numCache>
                <c:formatCode>General</c:formatCode>
                <c:ptCount val="7"/>
                <c:pt idx="0">
                  <c:v>11</c:v>
                </c:pt>
                <c:pt idx="1">
                  <c:v>11</c:v>
                </c:pt>
                <c:pt idx="2">
                  <c:v>11</c:v>
                </c:pt>
                <c:pt idx="3">
                  <c:v>8</c:v>
                </c:pt>
                <c:pt idx="4">
                  <c:v>11</c:v>
                </c:pt>
                <c:pt idx="5">
                  <c:v>11</c:v>
                </c:pt>
                <c:pt idx="6">
                  <c:v>11</c:v>
                </c:pt>
              </c:numCache>
            </c:numRef>
          </c:val>
          <c:smooth val="0"/>
          <c:extLst>
            <c:ext xmlns:c16="http://schemas.microsoft.com/office/drawing/2014/chart" uri="{C3380CC4-5D6E-409C-BE32-E72D297353CC}">
              <c16:uniqueId val="{00000020-D34D-459D-9003-A4DF1D32A4C8}"/>
            </c:ext>
          </c:extLst>
        </c:ser>
        <c:ser>
          <c:idx val="11"/>
          <c:order val="11"/>
          <c:tx>
            <c:strRef>
              <c:f>'Ch4. Grants leading Tech'!$BB$161</c:f>
              <c:strCache>
                <c:ptCount val="1"/>
                <c:pt idx="0">
                  <c:v>Computer technology</c:v>
                </c:pt>
              </c:strCache>
            </c:strRef>
          </c:tx>
          <c:spPr>
            <a:ln w="38100"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34D-459D-9003-A4DF1D32A4C8}"/>
                </c:ext>
              </c:extLst>
            </c:dLbl>
            <c:dLbl>
              <c:idx val="5"/>
              <c:layout>
                <c:manualLayout>
                  <c:x val="0.1276318386452549"/>
                  <c:y val="0"/>
                </c:manualLayout>
              </c:layout>
              <c:showLegendKey val="0"/>
              <c:showVal val="0"/>
              <c:showCatName val="0"/>
              <c:showSerName val="1"/>
              <c:showPercent val="0"/>
              <c:showBubbleSize val="0"/>
              <c:extLst>
                <c:ext xmlns:c15="http://schemas.microsoft.com/office/drawing/2012/chart" uri="{CE6537A1-D6FC-4f65-9D91-7224C49458BB}">
                  <c15:layout>
                    <c:manualLayout>
                      <c:w val="0.21156666622193343"/>
                      <c:h val="0.11173862608627264"/>
                    </c:manualLayout>
                  </c15:layout>
                </c:ext>
                <c:ext xmlns:c16="http://schemas.microsoft.com/office/drawing/2014/chart" uri="{C3380CC4-5D6E-409C-BE32-E72D297353CC}">
                  <c16:uniqueId val="{00000022-D34D-459D-9003-A4DF1D32A4C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Tech'!$BC$149:$BI$149</c:f>
              <c:numCache>
                <c:formatCode>General</c:formatCode>
                <c:ptCount val="7"/>
                <c:pt idx="0">
                  <c:v>2016</c:v>
                </c:pt>
                <c:pt idx="1">
                  <c:v>2017</c:v>
                </c:pt>
                <c:pt idx="2">
                  <c:v>2018</c:v>
                </c:pt>
                <c:pt idx="3">
                  <c:v>2019</c:v>
                </c:pt>
                <c:pt idx="4">
                  <c:v>2020</c:v>
                </c:pt>
                <c:pt idx="5">
                  <c:v>2021</c:v>
                </c:pt>
                <c:pt idx="6">
                  <c:v>2022</c:v>
                </c:pt>
              </c:numCache>
            </c:numRef>
          </c:cat>
          <c:val>
            <c:numRef>
              <c:f>'Ch4. Grants leading Tech'!$BC$161:$BI$161</c:f>
              <c:numCache>
                <c:formatCode>General</c:formatCode>
                <c:ptCount val="7"/>
                <c:pt idx="0">
                  <c:v>2</c:v>
                </c:pt>
                <c:pt idx="1">
                  <c:v>2</c:v>
                </c:pt>
                <c:pt idx="2">
                  <c:v>1</c:v>
                </c:pt>
                <c:pt idx="3">
                  <c:v>1</c:v>
                </c:pt>
                <c:pt idx="4">
                  <c:v>1</c:v>
                </c:pt>
                <c:pt idx="5">
                  <c:v>1</c:v>
                </c:pt>
                <c:pt idx="6">
                  <c:v>1</c:v>
                </c:pt>
              </c:numCache>
            </c:numRef>
          </c:val>
          <c:smooth val="0"/>
          <c:extLst>
            <c:ext xmlns:c16="http://schemas.microsoft.com/office/drawing/2014/chart" uri="{C3380CC4-5D6E-409C-BE32-E72D297353CC}">
              <c16:uniqueId val="{00000023-D34D-459D-9003-A4DF1D32A4C8}"/>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2016</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EB03-4D61-A5B5-D54E8507446C}"/>
              </c:ext>
            </c:extLst>
          </c:dPt>
          <c:dPt>
            <c:idx val="1"/>
            <c:bubble3D val="0"/>
            <c:spPr>
              <a:solidFill>
                <a:srgbClr val="FF0000"/>
              </a:solidFill>
              <a:ln>
                <a:solidFill>
                  <a:schemeClr val="bg1"/>
                </a:solidFill>
              </a:ln>
            </c:spPr>
            <c:extLst>
              <c:ext xmlns:c16="http://schemas.microsoft.com/office/drawing/2014/chart" uri="{C3380CC4-5D6E-409C-BE32-E72D297353CC}">
                <c16:uniqueId val="{00000003-EB03-4D61-A5B5-D54E8507446C}"/>
              </c:ext>
            </c:extLst>
          </c:dPt>
          <c:dPt>
            <c:idx val="2"/>
            <c:bubble3D val="0"/>
            <c:spPr>
              <a:solidFill>
                <a:srgbClr val="7030A0"/>
              </a:solidFill>
              <a:ln>
                <a:solidFill>
                  <a:schemeClr val="bg1"/>
                </a:solidFill>
              </a:ln>
            </c:spPr>
            <c:extLst>
              <c:ext xmlns:c16="http://schemas.microsoft.com/office/drawing/2014/chart" uri="{C3380CC4-5D6E-409C-BE32-E72D297353CC}">
                <c16:uniqueId val="{00000005-EB03-4D61-A5B5-D54E8507446C}"/>
              </c:ext>
            </c:extLst>
          </c:dPt>
          <c:dPt>
            <c:idx val="3"/>
            <c:bubble3D val="0"/>
            <c:spPr>
              <a:solidFill>
                <a:srgbClr val="FFC000"/>
              </a:solidFill>
              <a:ln>
                <a:solidFill>
                  <a:schemeClr val="bg1"/>
                </a:solidFill>
              </a:ln>
            </c:spPr>
            <c:extLst>
              <c:ext xmlns:c16="http://schemas.microsoft.com/office/drawing/2014/chart" uri="{C3380CC4-5D6E-409C-BE32-E72D297353CC}">
                <c16:uniqueId val="{00000007-EB03-4D61-A5B5-D54E8507446C}"/>
              </c:ext>
            </c:extLst>
          </c:dPt>
          <c:dPt>
            <c:idx val="4"/>
            <c:bubble3D val="0"/>
            <c:spPr>
              <a:solidFill>
                <a:srgbClr val="008000"/>
              </a:solidFill>
              <a:ln>
                <a:solidFill>
                  <a:schemeClr val="bg1"/>
                </a:solidFill>
              </a:ln>
            </c:spPr>
            <c:extLst>
              <c:ext xmlns:c16="http://schemas.microsoft.com/office/drawing/2014/chart" uri="{C3380CC4-5D6E-409C-BE32-E72D297353CC}">
                <c16:uniqueId val="{00000009-EB03-4D61-A5B5-D54E8507446C}"/>
              </c:ext>
            </c:extLst>
          </c:dPt>
          <c:dPt>
            <c:idx val="5"/>
            <c:bubble3D val="0"/>
            <c:spPr>
              <a:solidFill>
                <a:schemeClr val="accent2"/>
              </a:solidFill>
              <a:ln>
                <a:solidFill>
                  <a:schemeClr val="bg1"/>
                </a:solidFill>
              </a:ln>
            </c:spPr>
            <c:extLst>
              <c:ext xmlns:c16="http://schemas.microsoft.com/office/drawing/2014/chart" uri="{C3380CC4-5D6E-409C-BE32-E72D297353CC}">
                <c16:uniqueId val="{0000000B-EB03-4D61-A5B5-D54E8507446C}"/>
              </c:ext>
            </c:extLst>
          </c:dPt>
          <c:dLbls>
            <c:dLbl>
              <c:idx val="0"/>
              <c:layout>
                <c:manualLayout>
                  <c:x val="-0.21663692038495189"/>
                  <c:y val="0.2327443791089127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51111111111111"/>
                      <c:h val="0.28706765691402547"/>
                    </c:manualLayout>
                  </c15:layout>
                </c:ext>
                <c:ext xmlns:c16="http://schemas.microsoft.com/office/drawing/2014/chart" uri="{C3380CC4-5D6E-409C-BE32-E72D297353CC}">
                  <c16:uniqueId val="{00000001-EB03-4D61-A5B5-D54E8507446C}"/>
                </c:ext>
              </c:extLst>
            </c:dLbl>
            <c:dLbl>
              <c:idx val="1"/>
              <c:layout>
                <c:manualLayout>
                  <c:x val="-0.20155778254990853"/>
                  <c:y val="-0.1840154897732116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731313131313128"/>
                      <c:h val="0.23210944405079867"/>
                    </c:manualLayout>
                  </c15:layout>
                </c:ext>
                <c:ext xmlns:c16="http://schemas.microsoft.com/office/drawing/2014/chart" uri="{C3380CC4-5D6E-409C-BE32-E72D297353CC}">
                  <c16:uniqueId val="{00000003-EB03-4D61-A5B5-D54E8507446C}"/>
                </c:ext>
              </c:extLst>
            </c:dLbl>
            <c:dLbl>
              <c:idx val="3"/>
              <c:layout>
                <c:manualLayout>
                  <c:x val="0.14449757416686548"/>
                  <c:y val="-6.7145067113650717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357575757575757"/>
                      <c:h val="0.28706765691402547"/>
                    </c:manualLayout>
                  </c15:layout>
                </c:ext>
                <c:ext xmlns:c16="http://schemas.microsoft.com/office/drawing/2014/chart" uri="{C3380CC4-5D6E-409C-BE32-E72D297353CC}">
                  <c16:uniqueId val="{00000007-EB03-4D61-A5B5-D54E8507446C}"/>
                </c:ext>
              </c:extLst>
            </c:dLbl>
            <c:dLbl>
              <c:idx val="5"/>
              <c:layout>
                <c:manualLayout>
                  <c:x val="0.15898258172273921"/>
                  <c:y val="0.1286071351813955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7474747474747474"/>
                      <c:h val="0.23210944405079867"/>
                    </c:manualLayout>
                  </c15:layout>
                </c:ext>
                <c:ext xmlns:c16="http://schemas.microsoft.com/office/drawing/2014/chart" uri="{C3380CC4-5D6E-409C-BE32-E72D297353CC}">
                  <c16:uniqueId val="{0000000B-EB03-4D61-A5B5-D54E8507446C}"/>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Patents-in-Force'!$R$8:$R$13</c:f>
              <c:numCache>
                <c:formatCode>#,##0</c:formatCode>
                <c:ptCount val="6"/>
                <c:pt idx="0">
                  <c:v>3185424</c:v>
                </c:pt>
                <c:pt idx="1">
                  <c:v>1980985</c:v>
                </c:pt>
                <c:pt idx="2">
                  <c:v>950526</c:v>
                </c:pt>
                <c:pt idx="3">
                  <c:v>1772203</c:v>
                </c:pt>
                <c:pt idx="4">
                  <c:v>2763055</c:v>
                </c:pt>
                <c:pt idx="5">
                  <c:v>1117946</c:v>
                </c:pt>
              </c:numCache>
            </c:numRef>
          </c:val>
          <c:extLst>
            <c:ext xmlns:c16="http://schemas.microsoft.com/office/drawing/2014/chart" uri="{C3380CC4-5D6E-409C-BE32-E72D297353CC}">
              <c16:uniqueId val="{0000000C-EB03-4D61-A5B5-D54E8507446C}"/>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EB03-4D61-A5B5-D54E850744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EB03-4D61-A5B5-D54E850744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EB03-4D61-A5B5-D54E850744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EB03-4D61-A5B5-D54E850744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EB03-4D61-A5B5-D54E850744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EB03-4D61-A5B5-D54E8507446C}"/>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EB03-4D61-A5B5-D54E8507446C}"/>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t>USPTO - leading fields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339E-2"/>
          <c:y val="0.18008873548340704"/>
          <c:w val="0.72913381348441741"/>
          <c:h val="0.80932067110845385"/>
        </c:manualLayout>
      </c:layout>
      <c:lineChart>
        <c:grouping val="standard"/>
        <c:varyColors val="0"/>
        <c:ser>
          <c:idx val="0"/>
          <c:order val="0"/>
          <c:tx>
            <c:strRef>
              <c:f>'Ch4. Grants leading Tech'!$BN$150</c:f>
              <c:strCache>
                <c:ptCount val="1"/>
                <c:pt idx="0">
                  <c:v>Telecommunications</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57-410D-94AD-6F3B6BF93B38}"/>
                </c:ext>
              </c:extLst>
            </c:dLbl>
            <c:dLbl>
              <c:idx val="4"/>
              <c:delete val="1"/>
              <c:extLst>
                <c:ext xmlns:c15="http://schemas.microsoft.com/office/drawing/2012/chart" uri="{CE6537A1-D6FC-4f65-9D91-7224C49458BB}">
                  <c15:layout>
                    <c:manualLayout>
                      <c:w val="0.26835153875677731"/>
                      <c:h val="0.10644369351375568"/>
                    </c:manualLayout>
                  </c15:layout>
                </c:ext>
                <c:ext xmlns:c16="http://schemas.microsoft.com/office/drawing/2014/chart" uri="{C3380CC4-5D6E-409C-BE32-E72D297353CC}">
                  <c16:uniqueId val="{00000001-0C57-410D-94AD-6F3B6BF93B38}"/>
                </c:ext>
              </c:extLst>
            </c:dLbl>
            <c:dLbl>
              <c:idx val="5"/>
              <c:layout>
                <c:manualLayout>
                  <c:x val="0.14018567641442306"/>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Tech'!$BO$150:$BU$150</c:f>
              <c:numCache>
                <c:formatCode>General</c:formatCode>
                <c:ptCount val="7"/>
                <c:pt idx="0">
                  <c:v>9</c:v>
                </c:pt>
                <c:pt idx="1">
                  <c:v>9</c:v>
                </c:pt>
                <c:pt idx="2">
                  <c:v>9</c:v>
                </c:pt>
                <c:pt idx="3">
                  <c:v>10</c:v>
                </c:pt>
                <c:pt idx="4">
                  <c:v>10</c:v>
                </c:pt>
                <c:pt idx="5">
                  <c:v>10</c:v>
                </c:pt>
                <c:pt idx="6">
                  <c:v>10</c:v>
                </c:pt>
              </c:numCache>
            </c:numRef>
          </c:val>
          <c:smooth val="0"/>
          <c:extLst>
            <c:ext xmlns:c16="http://schemas.microsoft.com/office/drawing/2014/chart" uri="{C3380CC4-5D6E-409C-BE32-E72D297353CC}">
              <c16:uniqueId val="{00000003-0C57-410D-94AD-6F3B6BF93B38}"/>
            </c:ext>
          </c:extLst>
        </c:ser>
        <c:ser>
          <c:idx val="1"/>
          <c:order val="1"/>
          <c:tx>
            <c:strRef>
              <c:f>'Ch4. Grants leading Tech'!$BN$151</c:f>
              <c:strCache>
                <c:ptCount val="1"/>
                <c:pt idx="0">
                  <c:v>Optics</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57-410D-94AD-6F3B6BF93B38}"/>
                </c:ext>
              </c:extLst>
            </c:dLbl>
            <c:dLbl>
              <c:idx val="5"/>
              <c:layout>
                <c:manualLayout>
                  <c:x val="0.13809335288584959"/>
                  <c:y val="-3.7166094103966343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Tech'!$BO$151:$BU$151</c:f>
              <c:numCache>
                <c:formatCode>General</c:formatCode>
                <c:ptCount val="7"/>
                <c:pt idx="0">
                  <c:v>10</c:v>
                </c:pt>
                <c:pt idx="1">
                  <c:v>10</c:v>
                </c:pt>
                <c:pt idx="2">
                  <c:v>10</c:v>
                </c:pt>
                <c:pt idx="3">
                  <c:v>9</c:v>
                </c:pt>
                <c:pt idx="4">
                  <c:v>9</c:v>
                </c:pt>
                <c:pt idx="5">
                  <c:v>9</c:v>
                </c:pt>
                <c:pt idx="6">
                  <c:v>9</c:v>
                </c:pt>
              </c:numCache>
            </c:numRef>
          </c:val>
          <c:smooth val="0"/>
          <c:extLst>
            <c:ext xmlns:c16="http://schemas.microsoft.com/office/drawing/2014/chart" uri="{C3380CC4-5D6E-409C-BE32-E72D297353CC}">
              <c16:uniqueId val="{00000006-0C57-410D-94AD-6F3B6BF93B38}"/>
            </c:ext>
          </c:extLst>
        </c:ser>
        <c:ser>
          <c:idx val="2"/>
          <c:order val="2"/>
          <c:tx>
            <c:strRef>
              <c:f>'Ch4. Grants leading Tech'!$BN$152</c:f>
              <c:strCache>
                <c:ptCount val="1"/>
                <c:pt idx="0">
                  <c:v>Measurement</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57-410D-94AD-6F3B6BF93B38}"/>
                </c:ext>
              </c:extLst>
            </c:dLbl>
            <c:dLbl>
              <c:idx val="4"/>
              <c:delete val="1"/>
              <c:extLst>
                <c:ext xmlns:c15="http://schemas.microsoft.com/office/drawing/2012/chart" uri="{CE6537A1-D6FC-4f65-9D91-7224C49458BB}">
                  <c15:layout>
                    <c:manualLayout>
                      <c:w val="0.22838465088303733"/>
                      <c:h val="0.10940622589909532"/>
                    </c:manualLayout>
                  </c15:layout>
                </c:ext>
                <c:ext xmlns:c16="http://schemas.microsoft.com/office/drawing/2014/chart" uri="{C3380CC4-5D6E-409C-BE32-E72D297353CC}">
                  <c16:uniqueId val="{00000008-0C57-410D-94AD-6F3B6BF93B38}"/>
                </c:ext>
              </c:extLst>
            </c:dLbl>
            <c:dLbl>
              <c:idx val="5"/>
              <c:layout>
                <c:manualLayout>
                  <c:x val="0.13600119410716008"/>
                  <c:y val="-1.3627410413112527E-16"/>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0302655422157576"/>
                      <c:h val="0.109406153124893"/>
                    </c:manualLayout>
                  </c15:layout>
                </c:ext>
                <c:ext xmlns:c16="http://schemas.microsoft.com/office/drawing/2014/chart" uri="{C3380CC4-5D6E-409C-BE32-E72D297353CC}">
                  <c16:uniqueId val="{00000009-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Tech'!$BO$152:$BU$152</c:f>
              <c:numCache>
                <c:formatCode>General</c:formatCode>
                <c:ptCount val="7"/>
                <c:pt idx="0">
                  <c:v>7</c:v>
                </c:pt>
                <c:pt idx="1">
                  <c:v>7</c:v>
                </c:pt>
                <c:pt idx="2">
                  <c:v>7</c:v>
                </c:pt>
                <c:pt idx="3">
                  <c:v>7</c:v>
                </c:pt>
                <c:pt idx="4">
                  <c:v>7</c:v>
                </c:pt>
                <c:pt idx="5">
                  <c:v>7</c:v>
                </c:pt>
                <c:pt idx="6">
                  <c:v>8</c:v>
                </c:pt>
              </c:numCache>
            </c:numRef>
          </c:val>
          <c:smooth val="0"/>
          <c:extLst>
            <c:ext xmlns:c16="http://schemas.microsoft.com/office/drawing/2014/chart" uri="{C3380CC4-5D6E-409C-BE32-E72D297353CC}">
              <c16:uniqueId val="{0000000A-0C57-410D-94AD-6F3B6BF93B38}"/>
            </c:ext>
          </c:extLst>
        </c:ser>
        <c:ser>
          <c:idx val="3"/>
          <c:order val="3"/>
          <c:tx>
            <c:strRef>
              <c:f>'Ch4. Grants leading Tech'!$BN$153</c:f>
              <c:strCache>
                <c:ptCount val="1"/>
                <c:pt idx="0">
                  <c:v>Transport</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57-410D-94AD-6F3B6BF93B38}"/>
                </c:ext>
              </c:extLst>
            </c:dLbl>
            <c:dLbl>
              <c:idx val="4"/>
              <c:delete val="1"/>
              <c:extLst>
                <c:ext xmlns:c15="http://schemas.microsoft.com/office/drawing/2012/chart" uri="{CE6537A1-D6FC-4f65-9D91-7224C49458BB}">
                  <c15:layout>
                    <c:manualLayout>
                      <c:w val="0.25037333246208676"/>
                      <c:h val="0.10644369351375568"/>
                    </c:manualLayout>
                  </c15:layout>
                </c:ext>
                <c:ext xmlns:c16="http://schemas.microsoft.com/office/drawing/2014/chart" uri="{C3380CC4-5D6E-409C-BE32-E72D297353CC}">
                  <c16:uniqueId val="{0000000C-0C57-410D-94AD-6F3B6BF93B38}"/>
                </c:ext>
              </c:extLst>
            </c:dLbl>
            <c:dLbl>
              <c:idx val="5"/>
              <c:layout>
                <c:manualLayout>
                  <c:x val="0.13809335288584959"/>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Tech'!$BO$153:$BU$153</c:f>
              <c:numCache>
                <c:formatCode>General</c:formatCode>
                <c:ptCount val="7"/>
                <c:pt idx="0">
                  <c:v>8</c:v>
                </c:pt>
                <c:pt idx="1">
                  <c:v>8</c:v>
                </c:pt>
                <c:pt idx="2">
                  <c:v>8</c:v>
                </c:pt>
                <c:pt idx="3">
                  <c:v>8</c:v>
                </c:pt>
                <c:pt idx="4">
                  <c:v>8</c:v>
                </c:pt>
                <c:pt idx="5">
                  <c:v>8</c:v>
                </c:pt>
                <c:pt idx="6">
                  <c:v>7</c:v>
                </c:pt>
              </c:numCache>
            </c:numRef>
          </c:val>
          <c:smooth val="0"/>
          <c:extLst>
            <c:ext xmlns:c16="http://schemas.microsoft.com/office/drawing/2014/chart" uri="{C3380CC4-5D6E-409C-BE32-E72D297353CC}">
              <c16:uniqueId val="{0000000E-0C57-410D-94AD-6F3B6BF93B38}"/>
            </c:ext>
          </c:extLst>
        </c:ser>
        <c:ser>
          <c:idx val="4"/>
          <c:order val="4"/>
          <c:tx>
            <c:strRef>
              <c:f>'Ch4. Grants leading Tech'!$BN$154</c:f>
              <c:strCache>
                <c:ptCount val="1"/>
                <c:pt idx="0">
                  <c:v>Audio-visual technology</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57-410D-94AD-6F3B6BF93B38}"/>
                </c:ext>
              </c:extLst>
            </c:dLbl>
            <c:dLbl>
              <c:idx val="5"/>
              <c:layout>
                <c:manualLayout>
                  <c:x val="0.13704735587144684"/>
                  <c:y val="6.8137052065562636E-17"/>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638806472759348"/>
                      <c:h val="0.11173854501472451"/>
                    </c:manualLayout>
                  </c15:layout>
                </c:ext>
                <c:ext xmlns:c16="http://schemas.microsoft.com/office/drawing/2014/chart" uri="{C3380CC4-5D6E-409C-BE32-E72D297353CC}">
                  <c16:uniqueId val="{00000010-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Tech'!$BO$154:$BU$154</c:f>
              <c:numCache>
                <c:formatCode>General</c:formatCode>
                <c:ptCount val="7"/>
                <c:pt idx="0">
                  <c:v>6</c:v>
                </c:pt>
                <c:pt idx="1">
                  <c:v>6</c:v>
                </c:pt>
                <c:pt idx="2">
                  <c:v>6</c:v>
                </c:pt>
                <c:pt idx="3">
                  <c:v>6</c:v>
                </c:pt>
                <c:pt idx="4">
                  <c:v>6</c:v>
                </c:pt>
                <c:pt idx="5">
                  <c:v>6</c:v>
                </c:pt>
                <c:pt idx="6">
                  <c:v>6</c:v>
                </c:pt>
              </c:numCache>
            </c:numRef>
          </c:val>
          <c:smooth val="0"/>
          <c:extLst>
            <c:ext xmlns:c16="http://schemas.microsoft.com/office/drawing/2014/chart" uri="{C3380CC4-5D6E-409C-BE32-E72D297353CC}">
              <c16:uniqueId val="{00000011-0C57-410D-94AD-6F3B6BF93B38}"/>
            </c:ext>
          </c:extLst>
        </c:ser>
        <c:ser>
          <c:idx val="5"/>
          <c:order val="5"/>
          <c:tx>
            <c:strRef>
              <c:f>'Ch4. Grants leading Tech'!$BN$155</c:f>
              <c:strCache>
                <c:ptCount val="1"/>
                <c:pt idx="0">
                  <c:v>Semiconductors</c:v>
                </c:pt>
              </c:strCache>
            </c:strRef>
          </c:tx>
          <c:spPr>
            <a:ln w="38100" cap="rnd">
              <a:solidFill>
                <a:schemeClr val="accent6"/>
              </a:solidFill>
              <a:round/>
            </a:ln>
            <a:effectLst/>
          </c:spPr>
          <c:marker>
            <c:symbol val="none"/>
          </c:marker>
          <c:dLbls>
            <c:dLbl>
              <c:idx val="0"/>
              <c:spPr>
                <a:noFill/>
                <a:ln w="38100">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C57-410D-94AD-6F3B6BF93B38}"/>
                </c:ext>
              </c:extLst>
            </c:dLbl>
            <c:dLbl>
              <c:idx val="5"/>
              <c:layout>
                <c:manualLayout>
                  <c:x val="0.13600102935727609"/>
                  <c:y val="4.0268146052799166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Tech'!$BO$155:$BU$155</c:f>
              <c:numCache>
                <c:formatCode>General</c:formatCode>
                <c:ptCount val="7"/>
                <c:pt idx="0">
                  <c:v>4</c:v>
                </c:pt>
                <c:pt idx="1">
                  <c:v>4</c:v>
                </c:pt>
                <c:pt idx="2">
                  <c:v>4</c:v>
                </c:pt>
                <c:pt idx="3">
                  <c:v>5</c:v>
                </c:pt>
                <c:pt idx="4">
                  <c:v>5</c:v>
                </c:pt>
                <c:pt idx="5">
                  <c:v>5</c:v>
                </c:pt>
                <c:pt idx="6">
                  <c:v>5</c:v>
                </c:pt>
              </c:numCache>
            </c:numRef>
          </c:val>
          <c:smooth val="0"/>
          <c:extLst>
            <c:ext xmlns:c16="http://schemas.microsoft.com/office/drawing/2014/chart" uri="{C3380CC4-5D6E-409C-BE32-E72D297353CC}">
              <c16:uniqueId val="{00000014-0C57-410D-94AD-6F3B6BF93B38}"/>
            </c:ext>
          </c:extLst>
        </c:ser>
        <c:ser>
          <c:idx val="6"/>
          <c:order val="6"/>
          <c:tx>
            <c:strRef>
              <c:f>'Ch4. Grants leading Tech'!$BN$156</c:f>
              <c:strCache>
                <c:ptCount val="1"/>
                <c:pt idx="0">
                  <c:v>Medical technology</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C57-410D-94AD-6F3B6BF93B38}"/>
                </c:ext>
              </c:extLst>
            </c:dLbl>
            <c:dLbl>
              <c:idx val="5"/>
              <c:layout>
                <c:manualLayout>
                  <c:x val="0.13600102935727609"/>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Tech'!$BO$156:$BU$156</c:f>
              <c:numCache>
                <c:formatCode>General</c:formatCode>
                <c:ptCount val="7"/>
                <c:pt idx="0">
                  <c:v>5</c:v>
                </c:pt>
                <c:pt idx="1">
                  <c:v>5</c:v>
                </c:pt>
                <c:pt idx="2">
                  <c:v>5</c:v>
                </c:pt>
                <c:pt idx="3">
                  <c:v>4</c:v>
                </c:pt>
                <c:pt idx="4">
                  <c:v>4</c:v>
                </c:pt>
                <c:pt idx="5">
                  <c:v>3</c:v>
                </c:pt>
                <c:pt idx="6">
                  <c:v>3</c:v>
                </c:pt>
              </c:numCache>
            </c:numRef>
          </c:val>
          <c:smooth val="0"/>
          <c:extLst>
            <c:ext xmlns:c16="http://schemas.microsoft.com/office/drawing/2014/chart" uri="{C3380CC4-5D6E-409C-BE32-E72D297353CC}">
              <c16:uniqueId val="{00000017-0C57-410D-94AD-6F3B6BF93B38}"/>
            </c:ext>
          </c:extLst>
        </c:ser>
        <c:ser>
          <c:idx val="7"/>
          <c:order val="7"/>
          <c:tx>
            <c:strRef>
              <c:f>'Ch4. Grants leading Tech'!$BN$157</c:f>
              <c:strCache>
                <c:ptCount val="1"/>
                <c:pt idx="0">
                  <c:v>Electrical machinery, apparatus, energy</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C57-410D-94AD-6F3B6BF93B38}"/>
                </c:ext>
              </c:extLst>
            </c:dLbl>
            <c:dLbl>
              <c:idx val="4"/>
              <c:delete val="1"/>
              <c:extLst>
                <c:ext xmlns:c15="http://schemas.microsoft.com/office/drawing/2012/chart" uri="{CE6537A1-D6FC-4f65-9D91-7224C49458BB}"/>
                <c:ext xmlns:c16="http://schemas.microsoft.com/office/drawing/2014/chart" uri="{C3380CC4-5D6E-409C-BE32-E72D297353CC}">
                  <c16:uniqueId val="{00000019-0C57-410D-94AD-6F3B6BF93B38}"/>
                </c:ext>
              </c:extLst>
            </c:dLbl>
            <c:dLbl>
              <c:idx val="5"/>
              <c:layout>
                <c:manualLayout>
                  <c:x val="0.13600102935727609"/>
                  <c:y val="1.4632320506558333E-7"/>
                </c:manualLayout>
              </c:layout>
              <c:spPr>
                <a:noFill/>
                <a:ln>
                  <a:noFill/>
                </a:ln>
                <a:effectLst/>
              </c:spPr>
              <c:txPr>
                <a:bodyPr rot="0" spcFirstLastPara="1" vertOverflow="ellipsis" vert="horz" wrap="square" lIns="38100" tIns="19050" rIns="38100" bIns="19050" anchor="ctr" anchorCtr="0">
                  <a:noAutofit/>
                </a:bodyPr>
                <a:lstStyle/>
                <a:p>
                  <a:pPr algn="l">
                    <a:defRPr sz="105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c:ext xmlns:c15="http://schemas.microsoft.com/office/drawing/2012/chart" uri="{CE6537A1-D6FC-4f65-9D91-7224C49458BB}">
                  <c15:layout>
                    <c:manualLayout>
                      <c:w val="0.23494536152467452"/>
                      <c:h val="0.12473058239854752"/>
                    </c:manualLayout>
                  </c15:layout>
                </c:ext>
                <c:ext xmlns:c16="http://schemas.microsoft.com/office/drawing/2014/chart" uri="{C3380CC4-5D6E-409C-BE32-E72D297353CC}">
                  <c16:uniqueId val="{0000001A-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Tech'!$BO$157:$BU$157</c:f>
              <c:numCache>
                <c:formatCode>General</c:formatCode>
                <c:ptCount val="7"/>
                <c:pt idx="0">
                  <c:v>3</c:v>
                </c:pt>
                <c:pt idx="1">
                  <c:v>3</c:v>
                </c:pt>
                <c:pt idx="2">
                  <c:v>3</c:v>
                </c:pt>
                <c:pt idx="3">
                  <c:v>3</c:v>
                </c:pt>
                <c:pt idx="4">
                  <c:v>3</c:v>
                </c:pt>
                <c:pt idx="5">
                  <c:v>4</c:v>
                </c:pt>
                <c:pt idx="6">
                  <c:v>4</c:v>
                </c:pt>
              </c:numCache>
            </c:numRef>
          </c:val>
          <c:smooth val="0"/>
          <c:extLst>
            <c:ext xmlns:c16="http://schemas.microsoft.com/office/drawing/2014/chart" uri="{C3380CC4-5D6E-409C-BE32-E72D297353CC}">
              <c16:uniqueId val="{0000001B-0C57-410D-94AD-6F3B6BF93B38}"/>
            </c:ext>
          </c:extLst>
        </c:ser>
        <c:ser>
          <c:idx val="8"/>
          <c:order val="8"/>
          <c:tx>
            <c:strRef>
              <c:f>'Ch4. Grants leading Tech'!$BN$158</c:f>
              <c:strCache>
                <c:ptCount val="1"/>
                <c:pt idx="0">
                  <c:v>Digital communication</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C57-410D-94AD-6F3B6BF93B38}"/>
                </c:ext>
              </c:extLst>
            </c:dLbl>
            <c:dLbl>
              <c:idx val="5"/>
              <c:layout>
                <c:manualLayout>
                  <c:x val="0.13390870582870262"/>
                  <c:y val="-3.4068526032781318E-17"/>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242538936255685"/>
                      <c:h val="0.11173862608627264"/>
                    </c:manualLayout>
                  </c15:layout>
                </c:ext>
                <c:ext xmlns:c16="http://schemas.microsoft.com/office/drawing/2014/chart" uri="{C3380CC4-5D6E-409C-BE32-E72D297353CC}">
                  <c16:uniqueId val="{0000001D-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Tech'!$BO$158:$BU$158</c:f>
              <c:numCache>
                <c:formatCode>General</c:formatCode>
                <c:ptCount val="7"/>
                <c:pt idx="0">
                  <c:v>2</c:v>
                </c:pt>
                <c:pt idx="1">
                  <c:v>2</c:v>
                </c:pt>
                <c:pt idx="2">
                  <c:v>2</c:v>
                </c:pt>
                <c:pt idx="3">
                  <c:v>2</c:v>
                </c:pt>
                <c:pt idx="4">
                  <c:v>2</c:v>
                </c:pt>
                <c:pt idx="5">
                  <c:v>2</c:v>
                </c:pt>
                <c:pt idx="6">
                  <c:v>2</c:v>
                </c:pt>
              </c:numCache>
            </c:numRef>
          </c:val>
          <c:smooth val="0"/>
          <c:extLst>
            <c:ext xmlns:c16="http://schemas.microsoft.com/office/drawing/2014/chart" uri="{C3380CC4-5D6E-409C-BE32-E72D297353CC}">
              <c16:uniqueId val="{0000001E-0C57-410D-94AD-6F3B6BF93B38}"/>
            </c:ext>
          </c:extLst>
        </c:ser>
        <c:ser>
          <c:idx val="9"/>
          <c:order val="9"/>
          <c:tx>
            <c:strRef>
              <c:f>'Ch4. Grants leading Tech'!$BN$159</c:f>
              <c:strCache>
                <c:ptCount val="1"/>
                <c:pt idx="0">
                  <c:v>Computer technology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C57-410D-94AD-6F3B6BF93B38}"/>
                </c:ext>
              </c:extLst>
            </c:dLbl>
            <c:dLbl>
              <c:idx val="4"/>
              <c:delete val="1"/>
              <c:extLst>
                <c:ext xmlns:c15="http://schemas.microsoft.com/office/drawing/2012/chart" uri="{CE6537A1-D6FC-4f65-9D91-7224C49458BB}">
                  <c15:layout>
                    <c:manualLayout>
                      <c:w val="0.23604974157968225"/>
                      <c:h val="0.10644369351375568"/>
                    </c:manualLayout>
                  </c15:layout>
                </c:ext>
                <c:ext xmlns:c16="http://schemas.microsoft.com/office/drawing/2014/chart" uri="{C3380CC4-5D6E-409C-BE32-E72D297353CC}">
                  <c16:uniqueId val="{00000020-0C57-410D-94AD-6F3B6BF93B38}"/>
                </c:ext>
              </c:extLst>
            </c:dLbl>
            <c:dLbl>
              <c:idx val="5"/>
              <c:layout>
                <c:manualLayout>
                  <c:x val="0.13390870582870262"/>
                  <c:y val="-7.4332188207929953E-3"/>
                </c:manualLayout>
              </c:layout>
              <c:spPr>
                <a:noFill/>
                <a:ln>
                  <a:noFill/>
                </a:ln>
                <a:effectLst/>
              </c:spPr>
              <c:txPr>
                <a:bodyPr rot="0" spcFirstLastPara="1" vertOverflow="ellipsis" vert="horz" wrap="square" lIns="38100" tIns="19050" rIns="38100" bIns="19050" anchor="ctr" anchorCtr="0">
                  <a:spAutoFit/>
                </a:bodyPr>
                <a:lstStyle/>
                <a:p>
                  <a:pPr algn="l">
                    <a:defRPr sz="105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1367911698016098"/>
                      <c:h val="0.109406153124893"/>
                    </c:manualLayout>
                  </c15:layout>
                </c:ext>
                <c:ext xmlns:c16="http://schemas.microsoft.com/office/drawing/2014/chart" uri="{C3380CC4-5D6E-409C-BE32-E72D297353CC}">
                  <c16:uniqueId val="{00000021-0C57-410D-94AD-6F3B6BF93B3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Tech'!$BO$149:$BU$149</c:f>
              <c:numCache>
                <c:formatCode>General</c:formatCode>
                <c:ptCount val="7"/>
                <c:pt idx="0">
                  <c:v>2016</c:v>
                </c:pt>
                <c:pt idx="1">
                  <c:v>2017</c:v>
                </c:pt>
                <c:pt idx="2">
                  <c:v>2018</c:v>
                </c:pt>
                <c:pt idx="3">
                  <c:v>2019</c:v>
                </c:pt>
                <c:pt idx="4">
                  <c:v>2020</c:v>
                </c:pt>
                <c:pt idx="5">
                  <c:v>2021</c:v>
                </c:pt>
                <c:pt idx="6">
                  <c:v>2022</c:v>
                </c:pt>
              </c:numCache>
            </c:numRef>
          </c:cat>
          <c:val>
            <c:numRef>
              <c:f>'Ch4. Grants leading Tech'!$BO$159:$BU$159</c:f>
              <c:numCache>
                <c:formatCode>General</c:formatCode>
                <c:ptCount val="7"/>
                <c:pt idx="0">
                  <c:v>1</c:v>
                </c:pt>
                <c:pt idx="1">
                  <c:v>1</c:v>
                </c:pt>
                <c:pt idx="2">
                  <c:v>1</c:v>
                </c:pt>
                <c:pt idx="3">
                  <c:v>1</c:v>
                </c:pt>
                <c:pt idx="4">
                  <c:v>1</c:v>
                </c:pt>
                <c:pt idx="5">
                  <c:v>1</c:v>
                </c:pt>
                <c:pt idx="6">
                  <c:v>1</c:v>
                </c:pt>
              </c:numCache>
            </c:numRef>
          </c:val>
          <c:smooth val="0"/>
          <c:extLst>
            <c:ext xmlns:c16="http://schemas.microsoft.com/office/drawing/2014/chart" uri="{C3380CC4-5D6E-409C-BE32-E72D297353CC}">
              <c16:uniqueId val="{00000022-0C57-410D-94AD-6F3B6BF93B38}"/>
            </c:ext>
          </c:extLst>
        </c:ser>
        <c:dLbls>
          <c:showLegendKey val="0"/>
          <c:showVal val="0"/>
          <c:showCatName val="0"/>
          <c:showSerName val="0"/>
          <c:showPercent val="0"/>
          <c:showBubbleSize val="0"/>
        </c:dLbls>
        <c:smooth val="0"/>
        <c:axId val="638522720"/>
        <c:axId val="638516160"/>
      </c:lineChart>
      <c:catAx>
        <c:axId val="63852272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638516160"/>
        <c:crosses val="autoZero"/>
        <c:auto val="1"/>
        <c:lblAlgn val="ctr"/>
        <c:lblOffset val="100"/>
        <c:noMultiLvlLbl val="0"/>
      </c:catAx>
      <c:valAx>
        <c:axId val="638516160"/>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3852272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Maintenance'!$B$9:$B$28</c:f>
              <c:numCache>
                <c:formatCode>0%</c:formatCode>
                <c:ptCount val="20"/>
                <c:pt idx="0">
                  <c:v>1</c:v>
                </c:pt>
                <c:pt idx="1">
                  <c:v>0.99</c:v>
                </c:pt>
                <c:pt idx="2">
                  <c:v>0.91</c:v>
                </c:pt>
                <c:pt idx="3">
                  <c:v>0.76</c:v>
                </c:pt>
                <c:pt idx="4">
                  <c:v>0.65</c:v>
                </c:pt>
                <c:pt idx="5">
                  <c:v>0.56999999999999995</c:v>
                </c:pt>
                <c:pt idx="6">
                  <c:v>0.51</c:v>
                </c:pt>
                <c:pt idx="7">
                  <c:v>0.49</c:v>
                </c:pt>
                <c:pt idx="8">
                  <c:v>0.47</c:v>
                </c:pt>
                <c:pt idx="9">
                  <c:v>0.46</c:v>
                </c:pt>
                <c:pt idx="10">
                  <c:v>0.45</c:v>
                </c:pt>
                <c:pt idx="11">
                  <c:v>0.42</c:v>
                </c:pt>
                <c:pt idx="12">
                  <c:v>0.38</c:v>
                </c:pt>
                <c:pt idx="13">
                  <c:v>0.34</c:v>
                </c:pt>
                <c:pt idx="14">
                  <c:v>0.28999999999999998</c:v>
                </c:pt>
                <c:pt idx="15">
                  <c:v>0.26</c:v>
                </c:pt>
                <c:pt idx="16">
                  <c:v>0.22</c:v>
                </c:pt>
                <c:pt idx="17">
                  <c:v>0.19</c:v>
                </c:pt>
                <c:pt idx="18">
                  <c:v>0.16</c:v>
                </c:pt>
                <c:pt idx="19">
                  <c:v>0.13</c:v>
                </c:pt>
              </c:numCache>
            </c:numRef>
          </c:val>
          <c:smooth val="0"/>
          <c:extLst>
            <c:ext xmlns:c16="http://schemas.microsoft.com/office/drawing/2014/chart" uri="{C3380CC4-5D6E-409C-BE32-E72D297353CC}">
              <c16:uniqueId val="{00000000-1304-42B8-AEA3-BD7E0F1D77F1}"/>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Maintenance'!$C$9:$C$28</c:f>
              <c:numCache>
                <c:formatCode>0%</c:formatCode>
                <c:ptCount val="20"/>
                <c:pt idx="0">
                  <c:v>1</c:v>
                </c:pt>
                <c:pt idx="1">
                  <c:v>0.99</c:v>
                </c:pt>
                <c:pt idx="2">
                  <c:v>0.9</c:v>
                </c:pt>
                <c:pt idx="3">
                  <c:v>0.75</c:v>
                </c:pt>
                <c:pt idx="4">
                  <c:v>0.63</c:v>
                </c:pt>
                <c:pt idx="5">
                  <c:v>0.54</c:v>
                </c:pt>
                <c:pt idx="6">
                  <c:v>0.48</c:v>
                </c:pt>
                <c:pt idx="7">
                  <c:v>0.45</c:v>
                </c:pt>
                <c:pt idx="8">
                  <c:v>0.44</c:v>
                </c:pt>
                <c:pt idx="9">
                  <c:v>0.42</c:v>
                </c:pt>
                <c:pt idx="10">
                  <c:v>0.41</c:v>
                </c:pt>
                <c:pt idx="11">
                  <c:v>0.41</c:v>
                </c:pt>
                <c:pt idx="12">
                  <c:v>0.38</c:v>
                </c:pt>
                <c:pt idx="13">
                  <c:v>0.35</c:v>
                </c:pt>
                <c:pt idx="14">
                  <c:v>0.31</c:v>
                </c:pt>
                <c:pt idx="15">
                  <c:v>0.27</c:v>
                </c:pt>
                <c:pt idx="16">
                  <c:v>0.23</c:v>
                </c:pt>
                <c:pt idx="17">
                  <c:v>0.2</c:v>
                </c:pt>
                <c:pt idx="18">
                  <c:v>0.17</c:v>
                </c:pt>
                <c:pt idx="19">
                  <c:v>0.15</c:v>
                </c:pt>
              </c:numCache>
            </c:numRef>
          </c:val>
          <c:smooth val="0"/>
          <c:extLst>
            <c:ext xmlns:c16="http://schemas.microsoft.com/office/drawing/2014/chart" uri="{C3380CC4-5D6E-409C-BE32-E72D297353CC}">
              <c16:uniqueId val="{00000001-1304-42B8-AEA3-BD7E0F1D77F1}"/>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Maintenance'!$D$9:$D$28</c:f>
              <c:numCache>
                <c:formatCode>0%</c:formatCode>
                <c:ptCount val="20"/>
                <c:pt idx="0">
                  <c:v>0.99998783550923898</c:v>
                </c:pt>
                <c:pt idx="1">
                  <c:v>0.98698456793685096</c:v>
                </c:pt>
                <c:pt idx="2">
                  <c:v>0.90348661150295395</c:v>
                </c:pt>
                <c:pt idx="3">
                  <c:v>0.75164565576563303</c:v>
                </c:pt>
                <c:pt idx="4">
                  <c:v>0.62191438628846796</c:v>
                </c:pt>
                <c:pt idx="5">
                  <c:v>0.53207171301892997</c:v>
                </c:pt>
                <c:pt idx="6">
                  <c:v>0.46818063965789097</c:v>
                </c:pt>
                <c:pt idx="7">
                  <c:v>0.423534580312112</c:v>
                </c:pt>
                <c:pt idx="8">
                  <c:v>0.39617526130333403</c:v>
                </c:pt>
                <c:pt idx="9">
                  <c:v>0.38729396824530699</c:v>
                </c:pt>
                <c:pt idx="10">
                  <c:v>0.37594698009663502</c:v>
                </c:pt>
                <c:pt idx="11">
                  <c:v>0.365318158845994</c:v>
                </c:pt>
                <c:pt idx="12">
                  <c:v>0.35941201502626102</c:v>
                </c:pt>
                <c:pt idx="13">
                  <c:v>0.33790597059845401</c:v>
                </c:pt>
                <c:pt idx="14">
                  <c:v>0.300234368919164</c:v>
                </c:pt>
                <c:pt idx="15">
                  <c:v>0.26353075939383203</c:v>
                </c:pt>
                <c:pt idx="16">
                  <c:v>0.22600095888035401</c:v>
                </c:pt>
                <c:pt idx="17">
                  <c:v>0.19108296989123</c:v>
                </c:pt>
                <c:pt idx="18">
                  <c:v>0.16117170380266799</c:v>
                </c:pt>
                <c:pt idx="19">
                  <c:v>0.15093303033519201</c:v>
                </c:pt>
              </c:numCache>
            </c:numRef>
          </c:val>
          <c:smooth val="0"/>
          <c:extLst>
            <c:ext xmlns:c16="http://schemas.microsoft.com/office/drawing/2014/chart" uri="{C3380CC4-5D6E-409C-BE32-E72D297353CC}">
              <c16:uniqueId val="{00000002-1304-42B8-AEA3-BD7E0F1D77F1}"/>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Maintenance'!$E$9:$E$28</c:f>
              <c:numCache>
                <c:formatCode>0%</c:formatCode>
                <c:ptCount val="20"/>
                <c:pt idx="0">
                  <c:v>1</c:v>
                </c:pt>
                <c:pt idx="1">
                  <c:v>1</c:v>
                </c:pt>
                <c:pt idx="2">
                  <c:v>1</c:v>
                </c:pt>
                <c:pt idx="3">
                  <c:v>0.98389067871547098</c:v>
                </c:pt>
                <c:pt idx="4">
                  <c:v>0.90988059032929602</c:v>
                </c:pt>
                <c:pt idx="5">
                  <c:v>0.84771206646019104</c:v>
                </c:pt>
                <c:pt idx="6">
                  <c:v>0.786140428203423</c:v>
                </c:pt>
                <c:pt idx="7">
                  <c:v>0.72178967468489397</c:v>
                </c:pt>
                <c:pt idx="8">
                  <c:v>0.66687051498704997</c:v>
                </c:pt>
                <c:pt idx="9">
                  <c:v>0.62050218252162403</c:v>
                </c:pt>
                <c:pt idx="10">
                  <c:v>0.57594133107210699</c:v>
                </c:pt>
                <c:pt idx="11">
                  <c:v>0.53321989491956201</c:v>
                </c:pt>
                <c:pt idx="12">
                  <c:v>0.49437633080929999</c:v>
                </c:pt>
                <c:pt idx="13">
                  <c:v>0.445164791349696</c:v>
                </c:pt>
                <c:pt idx="14">
                  <c:v>0.39179894987907798</c:v>
                </c:pt>
                <c:pt idx="15">
                  <c:v>0.34484060763739499</c:v>
                </c:pt>
                <c:pt idx="16">
                  <c:v>0.29661014808978298</c:v>
                </c:pt>
                <c:pt idx="17">
                  <c:v>0.26987115380730098</c:v>
                </c:pt>
                <c:pt idx="18">
                  <c:v>0.23191438028971001</c:v>
                </c:pt>
                <c:pt idx="19">
                  <c:v>0.20263277419555201</c:v>
                </c:pt>
              </c:numCache>
            </c:numRef>
          </c:val>
          <c:smooth val="0"/>
          <c:extLst>
            <c:ext xmlns:c16="http://schemas.microsoft.com/office/drawing/2014/chart" uri="{C3380CC4-5D6E-409C-BE32-E72D297353CC}">
              <c16:uniqueId val="{00000003-1304-42B8-AEA3-BD7E0F1D77F1}"/>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Maintenance'!$F$9:$F$28</c:f>
              <c:numCache>
                <c:formatCode>0%</c:formatCode>
                <c:ptCount val="20"/>
                <c:pt idx="0">
                  <c:v>0.999970288755482</c:v>
                </c:pt>
                <c:pt idx="1">
                  <c:v>0.99982389335067701</c:v>
                </c:pt>
                <c:pt idx="2">
                  <c:v>0.98589742273861003</c:v>
                </c:pt>
                <c:pt idx="3">
                  <c:v>0.94443370642804703</c:v>
                </c:pt>
                <c:pt idx="4">
                  <c:v>0.86411303414897001</c:v>
                </c:pt>
                <c:pt idx="5">
                  <c:v>0.80016487989998197</c:v>
                </c:pt>
                <c:pt idx="6">
                  <c:v>0.74229424505485797</c:v>
                </c:pt>
                <c:pt idx="7">
                  <c:v>0.68559643009081805</c:v>
                </c:pt>
                <c:pt idx="8">
                  <c:v>0.62816272490999603</c:v>
                </c:pt>
                <c:pt idx="9">
                  <c:v>0.58145233459648105</c:v>
                </c:pt>
                <c:pt idx="10">
                  <c:v>0.54115941343400997</c:v>
                </c:pt>
                <c:pt idx="11">
                  <c:v>0.50347419493511703</c:v>
                </c:pt>
                <c:pt idx="12">
                  <c:v>0.46652023499693401</c:v>
                </c:pt>
                <c:pt idx="13">
                  <c:v>0.43169325672909198</c:v>
                </c:pt>
                <c:pt idx="14">
                  <c:v>0.38784731273919498</c:v>
                </c:pt>
                <c:pt idx="15">
                  <c:v>0.34435387793816302</c:v>
                </c:pt>
                <c:pt idx="16">
                  <c:v>0.300774482591606</c:v>
                </c:pt>
                <c:pt idx="17">
                  <c:v>0.26742469402581898</c:v>
                </c:pt>
                <c:pt idx="18">
                  <c:v>0.226059154101689</c:v>
                </c:pt>
                <c:pt idx="19">
                  <c:v>0.18726186368341699</c:v>
                </c:pt>
              </c:numCache>
            </c:numRef>
          </c:val>
          <c:smooth val="0"/>
          <c:extLst>
            <c:ext xmlns:c16="http://schemas.microsoft.com/office/drawing/2014/chart" uri="{C3380CC4-5D6E-409C-BE32-E72D297353CC}">
              <c16:uniqueId val="{00000004-1304-42B8-AEA3-BD7E0F1D77F1}"/>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Maintenance'!$G$9:$G$28</c:f>
              <c:numCache>
                <c:formatCode>0%</c:formatCode>
                <c:ptCount val="20"/>
                <c:pt idx="0">
                  <c:v>0.99996238787503899</c:v>
                </c:pt>
                <c:pt idx="1">
                  <c:v>0.999810949582431</c:v>
                </c:pt>
                <c:pt idx="2">
                  <c:v>0.98537383235385101</c:v>
                </c:pt>
                <c:pt idx="3">
                  <c:v>0.94616584879795496</c:v>
                </c:pt>
                <c:pt idx="4">
                  <c:v>0.86082379632670902</c:v>
                </c:pt>
                <c:pt idx="5">
                  <c:v>0.79378800256812398</c:v>
                </c:pt>
                <c:pt idx="6">
                  <c:v>0.73760409884307798</c:v>
                </c:pt>
                <c:pt idx="7">
                  <c:v>0.68181842816733496</c:v>
                </c:pt>
                <c:pt idx="8">
                  <c:v>0.62774165979785801</c:v>
                </c:pt>
                <c:pt idx="9">
                  <c:v>0.57257452112173801</c:v>
                </c:pt>
                <c:pt idx="10">
                  <c:v>0.52773152471365703</c:v>
                </c:pt>
                <c:pt idx="11">
                  <c:v>0.48991433864209999</c:v>
                </c:pt>
                <c:pt idx="12">
                  <c:v>0.45483394778647002</c:v>
                </c:pt>
                <c:pt idx="13">
                  <c:v>0.42093821476874699</c:v>
                </c:pt>
                <c:pt idx="14">
                  <c:v>0.39059646760931599</c:v>
                </c:pt>
                <c:pt idx="15">
                  <c:v>0.34850912449465998</c:v>
                </c:pt>
                <c:pt idx="16">
                  <c:v>0.31315059560134001</c:v>
                </c:pt>
                <c:pt idx="17">
                  <c:v>0.27681197415352299</c:v>
                </c:pt>
                <c:pt idx="18">
                  <c:v>0.23768575722157301</c:v>
                </c:pt>
                <c:pt idx="19">
                  <c:v>0.197199002174925</c:v>
                </c:pt>
              </c:numCache>
            </c:numRef>
          </c:val>
          <c:smooth val="0"/>
          <c:extLst>
            <c:ext xmlns:c16="http://schemas.microsoft.com/office/drawing/2014/chart" uri="{C3380CC4-5D6E-409C-BE32-E72D297353CC}">
              <c16:uniqueId val="{00000005-1304-42B8-AEA3-BD7E0F1D77F1}"/>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Maintenance'!$H$9:$H$28</c:f>
              <c:numCache>
                <c:formatCode>0%</c:formatCode>
                <c:ptCount val="20"/>
                <c:pt idx="0">
                  <c:v>1</c:v>
                </c:pt>
                <c:pt idx="1">
                  <c:v>1</c:v>
                </c:pt>
                <c:pt idx="2">
                  <c:v>0.99</c:v>
                </c:pt>
                <c:pt idx="3">
                  <c:v>0.95</c:v>
                </c:pt>
                <c:pt idx="4">
                  <c:v>0.87</c:v>
                </c:pt>
                <c:pt idx="5">
                  <c:v>0.8</c:v>
                </c:pt>
                <c:pt idx="6">
                  <c:v>0.74</c:v>
                </c:pt>
                <c:pt idx="7">
                  <c:v>0.69</c:v>
                </c:pt>
                <c:pt idx="8">
                  <c:v>0.64</c:v>
                </c:pt>
                <c:pt idx="9">
                  <c:v>0.57999999999999996</c:v>
                </c:pt>
                <c:pt idx="10">
                  <c:v>0.53</c:v>
                </c:pt>
                <c:pt idx="11">
                  <c:v>0.48</c:v>
                </c:pt>
                <c:pt idx="12">
                  <c:v>0.45</c:v>
                </c:pt>
                <c:pt idx="13">
                  <c:v>0.41</c:v>
                </c:pt>
                <c:pt idx="14">
                  <c:v>0.38</c:v>
                </c:pt>
                <c:pt idx="15">
                  <c:v>0.34</c:v>
                </c:pt>
                <c:pt idx="16">
                  <c:v>0.31</c:v>
                </c:pt>
                <c:pt idx="17">
                  <c:v>0.28000000000000003</c:v>
                </c:pt>
                <c:pt idx="18">
                  <c:v>0.24</c:v>
                </c:pt>
                <c:pt idx="19">
                  <c:v>0.21</c:v>
                </c:pt>
              </c:numCache>
            </c:numRef>
          </c:val>
          <c:smooth val="0"/>
          <c:extLst>
            <c:ext xmlns:c16="http://schemas.microsoft.com/office/drawing/2014/chart" uri="{C3380CC4-5D6E-409C-BE32-E72D297353CC}">
              <c16:uniqueId val="{00000006-1304-42B8-AEA3-BD7E0F1D77F1}"/>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Maintenance'!$I$9:$I$28</c:f>
              <c:numCache>
                <c:formatCode>0%</c:formatCode>
                <c:ptCount val="20"/>
                <c:pt idx="0">
                  <c:v>0.999983983966652</c:v>
                </c:pt>
                <c:pt idx="1">
                  <c:v>0.99990953105487201</c:v>
                </c:pt>
                <c:pt idx="2">
                  <c:v>0.99943554304092497</c:v>
                </c:pt>
                <c:pt idx="3">
                  <c:v>0.99039459414365605</c:v>
                </c:pt>
                <c:pt idx="4">
                  <c:v>0.952398625080637</c:v>
                </c:pt>
                <c:pt idx="5">
                  <c:v>0.90693684822346499</c:v>
                </c:pt>
                <c:pt idx="6">
                  <c:v>0.85091511283430099</c:v>
                </c:pt>
                <c:pt idx="7">
                  <c:v>0.78660072627288102</c:v>
                </c:pt>
                <c:pt idx="8">
                  <c:v>0.73378906239936403</c:v>
                </c:pt>
                <c:pt idx="9">
                  <c:v>0.67761108606930498</c:v>
                </c:pt>
                <c:pt idx="10">
                  <c:v>0.62006773628487999</c:v>
                </c:pt>
                <c:pt idx="11">
                  <c:v>0.55127091738162903</c:v>
                </c:pt>
                <c:pt idx="12">
                  <c:v>0.49408490675953498</c:v>
                </c:pt>
                <c:pt idx="13">
                  <c:v>0.45083466217979201</c:v>
                </c:pt>
                <c:pt idx="14">
                  <c:v>0.40840031120044001</c:v>
                </c:pt>
                <c:pt idx="15">
                  <c:v>0.36399497937959502</c:v>
                </c:pt>
                <c:pt idx="16">
                  <c:v>0.32160874623604002</c:v>
                </c:pt>
                <c:pt idx="17">
                  <c:v>0.2797202514462</c:v>
                </c:pt>
                <c:pt idx="18">
                  <c:v>0.240112086977537</c:v>
                </c:pt>
                <c:pt idx="19">
                  <c:v>0.211204057639158</c:v>
                </c:pt>
              </c:numCache>
            </c:numRef>
          </c:val>
          <c:smooth val="0"/>
          <c:extLst>
            <c:ext xmlns:c16="http://schemas.microsoft.com/office/drawing/2014/chart" uri="{C3380CC4-5D6E-409C-BE32-E72D297353CC}">
              <c16:uniqueId val="{00000007-1304-42B8-AEA3-BD7E0F1D77F1}"/>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Maintenance'!$J$9:$J$28</c:f>
              <c:numCache>
                <c:formatCode>0%</c:formatCode>
                <c:ptCount val="20"/>
                <c:pt idx="0">
                  <c:v>0.99996915620180704</c:v>
                </c:pt>
                <c:pt idx="1">
                  <c:v>0.99991598736873</c:v>
                </c:pt>
                <c:pt idx="2">
                  <c:v>0.986916648307263</c:v>
                </c:pt>
                <c:pt idx="3">
                  <c:v>0.96206697830447196</c:v>
                </c:pt>
                <c:pt idx="4">
                  <c:v>0.90251507800471298</c:v>
                </c:pt>
                <c:pt idx="5">
                  <c:v>0.84232676137528595</c:v>
                </c:pt>
                <c:pt idx="6">
                  <c:v>0.78462610151162104</c:v>
                </c:pt>
                <c:pt idx="7">
                  <c:v>0.72454971060297602</c:v>
                </c:pt>
                <c:pt idx="8">
                  <c:v>0.66700655283923604</c:v>
                </c:pt>
                <c:pt idx="9">
                  <c:v>0.61280022584368399</c:v>
                </c:pt>
                <c:pt idx="10">
                  <c:v>0.55846558329218698</c:v>
                </c:pt>
                <c:pt idx="11">
                  <c:v>0.50603018470440897</c:v>
                </c:pt>
                <c:pt idx="12">
                  <c:v>0.45367627015340201</c:v>
                </c:pt>
                <c:pt idx="13">
                  <c:v>0.41083189720890301</c:v>
                </c:pt>
                <c:pt idx="14">
                  <c:v>0.36609569002140202</c:v>
                </c:pt>
                <c:pt idx="15">
                  <c:v>0.32722698640442699</c:v>
                </c:pt>
                <c:pt idx="16">
                  <c:v>0.28847699695382201</c:v>
                </c:pt>
                <c:pt idx="17">
                  <c:v>0.25579627488419898</c:v>
                </c:pt>
                <c:pt idx="18">
                  <c:v>0.222960741236959</c:v>
                </c:pt>
                <c:pt idx="19">
                  <c:v>0.20430929782735799</c:v>
                </c:pt>
              </c:numCache>
            </c:numRef>
          </c:val>
          <c:smooth val="0"/>
          <c:extLst>
            <c:ext xmlns:c16="http://schemas.microsoft.com/office/drawing/2014/chart" uri="{C3380CC4-5D6E-409C-BE32-E72D297353CC}">
              <c16:uniqueId val="{00000008-1304-42B8-AEA3-BD7E0F1D77F1}"/>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Maintenance'!$K$9:$K$28</c:f>
              <c:numCache>
                <c:formatCode>0%</c:formatCode>
                <c:ptCount val="20"/>
                <c:pt idx="0">
                  <c:v>0.99999940635450013</c:v>
                </c:pt>
                <c:pt idx="1">
                  <c:v>0.99597603097582199</c:v>
                </c:pt>
                <c:pt idx="2">
                  <c:v>0.97449196887928224</c:v>
                </c:pt>
                <c:pt idx="3">
                  <c:v>0.92428793298625544</c:v>
                </c:pt>
                <c:pt idx="4">
                  <c:v>0.85203355660159319</c:v>
                </c:pt>
                <c:pt idx="5">
                  <c:v>0.78089261408609068</c:v>
                </c:pt>
                <c:pt idx="6">
                  <c:v>0.71871495667058427</c:v>
                </c:pt>
                <c:pt idx="7">
                  <c:v>0.66262623991407565</c:v>
                </c:pt>
                <c:pt idx="8">
                  <c:v>0.61120951348977282</c:v>
                </c:pt>
                <c:pt idx="9">
                  <c:v>0.55900952341550703</c:v>
                </c:pt>
                <c:pt idx="10">
                  <c:v>0.51250686003123247</c:v>
                </c:pt>
                <c:pt idx="11">
                  <c:v>0.47139259816521428</c:v>
                </c:pt>
                <c:pt idx="12">
                  <c:v>0.43291830061599906</c:v>
                </c:pt>
                <c:pt idx="13">
                  <c:v>0.39329680247297871</c:v>
                </c:pt>
                <c:pt idx="14">
                  <c:v>0.3531597932188853</c:v>
                </c:pt>
                <c:pt idx="15">
                  <c:v>0.31359932083148001</c:v>
                </c:pt>
                <c:pt idx="16">
                  <c:v>0.27674093658099846</c:v>
                </c:pt>
                <c:pt idx="17">
                  <c:v>0.24220683150204048</c:v>
                </c:pt>
                <c:pt idx="18">
                  <c:v>0.20616964812829933</c:v>
                </c:pt>
                <c:pt idx="19">
                  <c:v>0.17005515747022978</c:v>
                </c:pt>
              </c:numCache>
            </c:numRef>
          </c:val>
          <c:smooth val="0"/>
          <c:extLst>
            <c:ext xmlns:c16="http://schemas.microsoft.com/office/drawing/2014/chart" uri="{C3380CC4-5D6E-409C-BE32-E72D297353CC}">
              <c16:uniqueId val="{00000009-1304-42B8-AEA3-BD7E0F1D77F1}"/>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Maintenance'!$L$9:$L$28</c:f>
              <c:numCache>
                <c:formatCode>0%</c:formatCode>
                <c:ptCount val="20"/>
                <c:pt idx="0">
                  <c:v>0.99997520875842227</c:v>
                </c:pt>
                <c:pt idx="1">
                  <c:v>0.99483948203558881</c:v>
                </c:pt>
                <c:pt idx="2">
                  <c:v>0.96915114064519226</c:v>
                </c:pt>
                <c:pt idx="3">
                  <c:v>0.91256439105590015</c:v>
                </c:pt>
                <c:pt idx="4">
                  <c:v>0.83005870701561646</c:v>
                </c:pt>
                <c:pt idx="5">
                  <c:v>0.75355492354968989</c:v>
                </c:pt>
                <c:pt idx="6">
                  <c:v>0.68811892327268598</c:v>
                </c:pt>
                <c:pt idx="7">
                  <c:v>0.6341506314679366</c:v>
                </c:pt>
                <c:pt idx="8">
                  <c:v>0.58498738165021846</c:v>
                </c:pt>
                <c:pt idx="9">
                  <c:v>0.54075346497595667</c:v>
                </c:pt>
                <c:pt idx="10">
                  <c:v>0.49694634390550957</c:v>
                </c:pt>
                <c:pt idx="11">
                  <c:v>0.45848417740571756</c:v>
                </c:pt>
                <c:pt idx="12">
                  <c:v>0.42424519392952664</c:v>
                </c:pt>
                <c:pt idx="13">
                  <c:v>0.39003621135241689</c:v>
                </c:pt>
                <c:pt idx="14">
                  <c:v>0.3531843773370732</c:v>
                </c:pt>
                <c:pt idx="15">
                  <c:v>0.31524220440067408</c:v>
                </c:pt>
                <c:pt idx="16">
                  <c:v>0.28087887278475199</c:v>
                </c:pt>
                <c:pt idx="17">
                  <c:v>0.24532399319853557</c:v>
                </c:pt>
                <c:pt idx="18">
                  <c:v>0.21349218817992446</c:v>
                </c:pt>
                <c:pt idx="19">
                  <c:v>0.1789201725120026</c:v>
                </c:pt>
              </c:numCache>
            </c:numRef>
          </c:val>
          <c:smooth val="0"/>
          <c:extLst>
            <c:ext xmlns:c16="http://schemas.microsoft.com/office/drawing/2014/chart" uri="{C3380CC4-5D6E-409C-BE32-E72D297353CC}">
              <c16:uniqueId val="{0000000A-1304-42B8-AEA3-BD7E0F1D77F1}"/>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Maintenance'!$M$9:$M$28</c:f>
              <c:numCache>
                <c:formatCode>0%</c:formatCode>
                <c:ptCount val="20"/>
                <c:pt idx="0">
                  <c:v>1</c:v>
                </c:pt>
                <c:pt idx="1">
                  <c:v>0.99431171375243421</c:v>
                </c:pt>
                <c:pt idx="2">
                  <c:v>0.96444963187345534</c:v>
                </c:pt>
                <c:pt idx="3">
                  <c:v>0.90113744476769364</c:v>
                </c:pt>
                <c:pt idx="4">
                  <c:v>0.81284051446114125</c:v>
                </c:pt>
                <c:pt idx="5">
                  <c:v>0.72819255613334521</c:v>
                </c:pt>
                <c:pt idx="6">
                  <c:v>0.66092017526105906</c:v>
                </c:pt>
                <c:pt idx="7">
                  <c:v>0.60429273512191506</c:v>
                </c:pt>
                <c:pt idx="8">
                  <c:v>0.55615863496438822</c:v>
                </c:pt>
                <c:pt idx="9">
                  <c:v>0.51191374027181535</c:v>
                </c:pt>
                <c:pt idx="10">
                  <c:v>0.47450874571296342</c:v>
                </c:pt>
                <c:pt idx="11">
                  <c:v>0.43799545812076662</c:v>
                </c:pt>
                <c:pt idx="12">
                  <c:v>0.40576037775556373</c:v>
                </c:pt>
                <c:pt idx="13">
                  <c:v>0.37578786337786679</c:v>
                </c:pt>
                <c:pt idx="14">
                  <c:v>0.34461099581395022</c:v>
                </c:pt>
                <c:pt idx="15">
                  <c:v>0.31090886633349868</c:v>
                </c:pt>
                <c:pt idx="16">
                  <c:v>0.27614882783681444</c:v>
                </c:pt>
                <c:pt idx="17">
                  <c:v>0.24349654438279059</c:v>
                </c:pt>
                <c:pt idx="18">
                  <c:v>0.20974019775559519</c:v>
                </c:pt>
                <c:pt idx="19">
                  <c:v>0.18477314807488407</c:v>
                </c:pt>
              </c:numCache>
            </c:numRef>
          </c:val>
          <c:smooth val="0"/>
          <c:extLst>
            <c:ext xmlns:c16="http://schemas.microsoft.com/office/drawing/2014/chart" uri="{C3380CC4-5D6E-409C-BE32-E72D297353CC}">
              <c16:uniqueId val="{0000000C-1304-42B8-AEA3-BD7E0F1D77F1}"/>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Maintenance'!$N$9:$N$28</c:f>
              <c:numCache>
                <c:formatCode>0%</c:formatCode>
                <c:ptCount val="20"/>
                <c:pt idx="0">
                  <c:v>1</c:v>
                </c:pt>
                <c:pt idx="1">
                  <c:v>0.99332642055146525</c:v>
                </c:pt>
                <c:pt idx="2">
                  <c:v>0.95814505448869236</c:v>
                </c:pt>
                <c:pt idx="3">
                  <c:v>0.88264586465229156</c:v>
                </c:pt>
                <c:pt idx="4">
                  <c:v>0.78101855526987907</c:v>
                </c:pt>
                <c:pt idx="5">
                  <c:v>0.69030378521635882</c:v>
                </c:pt>
                <c:pt idx="6">
                  <c:v>0.61895768257538786</c:v>
                </c:pt>
                <c:pt idx="7">
                  <c:v>0.56474475532641699</c:v>
                </c:pt>
                <c:pt idx="8">
                  <c:v>0.51862021598886954</c:v>
                </c:pt>
                <c:pt idx="9">
                  <c:v>0.47892663652100009</c:v>
                </c:pt>
                <c:pt idx="10">
                  <c:v>0.44478657075903699</c:v>
                </c:pt>
                <c:pt idx="11">
                  <c:v>0.41564414450784998</c:v>
                </c:pt>
                <c:pt idx="12">
                  <c:v>0.38701068112925974</c:v>
                </c:pt>
                <c:pt idx="13">
                  <c:v>0.36102189540328433</c:v>
                </c:pt>
                <c:pt idx="14">
                  <c:v>0.33449013139471062</c:v>
                </c:pt>
                <c:pt idx="15">
                  <c:v>0.30525326814720183</c:v>
                </c:pt>
                <c:pt idx="16">
                  <c:v>0.27222147623302129</c:v>
                </c:pt>
                <c:pt idx="17">
                  <c:v>0.23952752655034407</c:v>
                </c:pt>
                <c:pt idx="18">
                  <c:v>0.21103066055233508</c:v>
                </c:pt>
                <c:pt idx="19">
                  <c:v>0.18186645101474846</c:v>
                </c:pt>
              </c:numCache>
            </c:numRef>
          </c:val>
          <c:smooth val="0"/>
          <c:extLst>
            <c:ext xmlns:c16="http://schemas.microsoft.com/office/drawing/2014/chart" uri="{C3380CC4-5D6E-409C-BE32-E72D297353CC}">
              <c16:uniqueId val="{00000001-C4E5-4C9D-AC61-266ABFB5FF51}"/>
            </c:ext>
          </c:extLst>
        </c:ser>
        <c:dLbls>
          <c:showLegendKey val="0"/>
          <c:showVal val="0"/>
          <c:showCatName val="0"/>
          <c:showSerName val="0"/>
          <c:showPercent val="0"/>
          <c:showBubbleSize val="0"/>
        </c:dLbls>
        <c:smooth val="0"/>
        <c:axId val="621911288"/>
        <c:axId val="621912464"/>
      </c:lineChart>
      <c:catAx>
        <c:axId val="62191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2464"/>
        <c:crosses val="autoZero"/>
        <c:auto val="1"/>
        <c:lblAlgn val="ctr"/>
        <c:lblOffset val="100"/>
        <c:noMultiLvlLbl val="0"/>
      </c:catAx>
      <c:valAx>
        <c:axId val="62191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1288"/>
        <c:crosses val="autoZero"/>
        <c:crossBetween val="between"/>
        <c:majorUnit val="0.25"/>
        <c:minorUnit val="0.05"/>
      </c:valAx>
      <c:spPr>
        <a:noFill/>
        <a:ln>
          <a:noFill/>
        </a:ln>
        <a:effectLst/>
      </c:spPr>
    </c:plotArea>
    <c:legend>
      <c:legendPos val="b"/>
      <c:layout>
        <c:manualLayout>
          <c:xMode val="edge"/>
          <c:yMode val="edge"/>
          <c:x val="9.0502719073559543E-2"/>
          <c:y val="0.90446419197600303"/>
          <c:w val="0.81782596993596912"/>
          <c:h val="9.5535808023996999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Maintenance'!$B$35:$B$54</c:f>
              <c:numCache>
                <c:formatCode>0%</c:formatCode>
                <c:ptCount val="20"/>
                <c:pt idx="0">
                  <c:v>1</c:v>
                </c:pt>
                <c:pt idx="1">
                  <c:v>1</c:v>
                </c:pt>
                <c:pt idx="2">
                  <c:v>0.999</c:v>
                </c:pt>
                <c:pt idx="3">
                  <c:v>0.998</c:v>
                </c:pt>
                <c:pt idx="4">
                  <c:v>0.996</c:v>
                </c:pt>
                <c:pt idx="5">
                  <c:v>0.996</c:v>
                </c:pt>
                <c:pt idx="6">
                  <c:v>0.99</c:v>
                </c:pt>
                <c:pt idx="7">
                  <c:v>0.97199999999999998</c:v>
                </c:pt>
                <c:pt idx="8">
                  <c:v>0.93200000000000005</c:v>
                </c:pt>
                <c:pt idx="9">
                  <c:v>0.90300000000000002</c:v>
                </c:pt>
                <c:pt idx="10">
                  <c:v>0.88800000000000001</c:v>
                </c:pt>
                <c:pt idx="11">
                  <c:v>0.83699999999999997</c:v>
                </c:pt>
                <c:pt idx="12">
                  <c:v>0.76800000000000002</c:v>
                </c:pt>
                <c:pt idx="13">
                  <c:v>0.69899999999999995</c:v>
                </c:pt>
                <c:pt idx="14">
                  <c:v>0.629</c:v>
                </c:pt>
                <c:pt idx="15">
                  <c:v>0.56699999999999995</c:v>
                </c:pt>
                <c:pt idx="16">
                  <c:v>0.499</c:v>
                </c:pt>
                <c:pt idx="17">
                  <c:v>0.432</c:v>
                </c:pt>
                <c:pt idx="18">
                  <c:v>0.36</c:v>
                </c:pt>
                <c:pt idx="19">
                  <c:v>0.27500000000000002</c:v>
                </c:pt>
              </c:numCache>
            </c:numRef>
          </c:val>
          <c:smooth val="0"/>
          <c:extLst>
            <c:ext xmlns:c16="http://schemas.microsoft.com/office/drawing/2014/chart" uri="{C3380CC4-5D6E-409C-BE32-E72D297353CC}">
              <c16:uniqueId val="{00000000-00F5-422E-9923-5A6D776DEC76}"/>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Maintenance'!$C$35:$C$54</c:f>
              <c:numCache>
                <c:formatCode>0%</c:formatCode>
                <c:ptCount val="20"/>
                <c:pt idx="0">
                  <c:v>1</c:v>
                </c:pt>
                <c:pt idx="1">
                  <c:v>1</c:v>
                </c:pt>
                <c:pt idx="2">
                  <c:v>0.999</c:v>
                </c:pt>
                <c:pt idx="3">
                  <c:v>0.998</c:v>
                </c:pt>
                <c:pt idx="4">
                  <c:v>0.996</c:v>
                </c:pt>
                <c:pt idx="5">
                  <c:v>0.996</c:v>
                </c:pt>
                <c:pt idx="6">
                  <c:v>0.99</c:v>
                </c:pt>
                <c:pt idx="7">
                  <c:v>0.98</c:v>
                </c:pt>
                <c:pt idx="8">
                  <c:v>0.94</c:v>
                </c:pt>
                <c:pt idx="9">
                  <c:v>0.89</c:v>
                </c:pt>
                <c:pt idx="10">
                  <c:v>0.88</c:v>
                </c:pt>
                <c:pt idx="11">
                  <c:v>0.86</c:v>
                </c:pt>
                <c:pt idx="12">
                  <c:v>0.8</c:v>
                </c:pt>
                <c:pt idx="13">
                  <c:v>0.72</c:v>
                </c:pt>
                <c:pt idx="14">
                  <c:v>0.65</c:v>
                </c:pt>
                <c:pt idx="15">
                  <c:v>0.57999999999999996</c:v>
                </c:pt>
                <c:pt idx="16">
                  <c:v>0.52</c:v>
                </c:pt>
                <c:pt idx="17">
                  <c:v>0.45</c:v>
                </c:pt>
                <c:pt idx="18">
                  <c:v>0.38</c:v>
                </c:pt>
                <c:pt idx="19">
                  <c:v>0.26</c:v>
                </c:pt>
              </c:numCache>
            </c:numRef>
          </c:val>
          <c:smooth val="0"/>
          <c:extLst>
            <c:ext xmlns:c16="http://schemas.microsoft.com/office/drawing/2014/chart" uri="{C3380CC4-5D6E-409C-BE32-E72D297353CC}">
              <c16:uniqueId val="{00000001-00F5-422E-9923-5A6D776DEC76}"/>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Maintenance'!$D$35:$D$54</c:f>
              <c:numCache>
                <c:formatCode>0%</c:formatCode>
                <c:ptCount val="20"/>
                <c:pt idx="0">
                  <c:v>1</c:v>
                </c:pt>
                <c:pt idx="1">
                  <c:v>1</c:v>
                </c:pt>
                <c:pt idx="2">
                  <c:v>1</c:v>
                </c:pt>
                <c:pt idx="3">
                  <c:v>0.99942242840907003</c:v>
                </c:pt>
                <c:pt idx="4">
                  <c:v>0.99761062876347895</c:v>
                </c:pt>
                <c:pt idx="5">
                  <c:v>0.99625706609951303</c:v>
                </c:pt>
                <c:pt idx="6">
                  <c:v>0.99179569547060697</c:v>
                </c:pt>
                <c:pt idx="7">
                  <c:v>0.98293033380817596</c:v>
                </c:pt>
                <c:pt idx="8">
                  <c:v>0.95187665961493795</c:v>
                </c:pt>
                <c:pt idx="9">
                  <c:v>0.89362894086132305</c:v>
                </c:pt>
                <c:pt idx="10">
                  <c:v>0.82901554404145095</c:v>
                </c:pt>
                <c:pt idx="11">
                  <c:v>0.84446010976916797</c:v>
                </c:pt>
                <c:pt idx="12">
                  <c:v>0.82020773880757303</c:v>
                </c:pt>
                <c:pt idx="13">
                  <c:v>0.74095565809024799</c:v>
                </c:pt>
                <c:pt idx="14">
                  <c:v>0.66309228655424102</c:v>
                </c:pt>
                <c:pt idx="15">
                  <c:v>0.59375024791159303</c:v>
                </c:pt>
                <c:pt idx="16">
                  <c:v>0.52268730214562098</c:v>
                </c:pt>
                <c:pt idx="17">
                  <c:v>0.459987737584304</c:v>
                </c:pt>
                <c:pt idx="18">
                  <c:v>0.38812797012898798</c:v>
                </c:pt>
                <c:pt idx="19">
                  <c:v>0.30625773378115601</c:v>
                </c:pt>
              </c:numCache>
            </c:numRef>
          </c:val>
          <c:smooth val="0"/>
          <c:extLst>
            <c:ext xmlns:c16="http://schemas.microsoft.com/office/drawing/2014/chart" uri="{C3380CC4-5D6E-409C-BE32-E72D297353CC}">
              <c16:uniqueId val="{00000002-00F5-422E-9923-5A6D776DEC76}"/>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Maintenance'!$E$35:$E$54</c:f>
              <c:numCache>
                <c:formatCode>0%</c:formatCode>
                <c:ptCount val="20"/>
                <c:pt idx="0">
                  <c:v>1</c:v>
                </c:pt>
                <c:pt idx="1">
                  <c:v>0.99976465050600105</c:v>
                </c:pt>
                <c:pt idx="2">
                  <c:v>1</c:v>
                </c:pt>
                <c:pt idx="3">
                  <c:v>0.99981466961294496</c:v>
                </c:pt>
                <c:pt idx="4">
                  <c:v>0.99816016722905498</c:v>
                </c:pt>
                <c:pt idx="5">
                  <c:v>0.99602641452038099</c:v>
                </c:pt>
                <c:pt idx="6">
                  <c:v>0.99162371535589899</c:v>
                </c:pt>
                <c:pt idx="7">
                  <c:v>0.98316325282039996</c:v>
                </c:pt>
                <c:pt idx="8">
                  <c:v>0.95874542704057997</c:v>
                </c:pt>
                <c:pt idx="9">
                  <c:v>0.90351497117351698</c:v>
                </c:pt>
                <c:pt idx="10">
                  <c:v>0.83927589074393905</c:v>
                </c:pt>
                <c:pt idx="11">
                  <c:v>0.77532079995359604</c:v>
                </c:pt>
                <c:pt idx="12">
                  <c:v>0.80084313543665397</c:v>
                </c:pt>
                <c:pt idx="13">
                  <c:v>0.76426162976976897</c:v>
                </c:pt>
                <c:pt idx="14">
                  <c:v>0.68446461857632002</c:v>
                </c:pt>
                <c:pt idx="15">
                  <c:v>0.610521635131405</c:v>
                </c:pt>
                <c:pt idx="16">
                  <c:v>0.53873658173054095</c:v>
                </c:pt>
                <c:pt idx="17">
                  <c:v>0.47030638026476101</c:v>
                </c:pt>
                <c:pt idx="18">
                  <c:v>0.40450365768932101</c:v>
                </c:pt>
                <c:pt idx="19">
                  <c:v>0.327147451399672</c:v>
                </c:pt>
              </c:numCache>
            </c:numRef>
          </c:val>
          <c:smooth val="0"/>
          <c:extLst>
            <c:ext xmlns:c16="http://schemas.microsoft.com/office/drawing/2014/chart" uri="{C3380CC4-5D6E-409C-BE32-E72D297353CC}">
              <c16:uniqueId val="{00000003-00F5-422E-9923-5A6D776DEC76}"/>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Maintenance'!$F$35:$F$54</c:f>
              <c:numCache>
                <c:formatCode>0%</c:formatCode>
                <c:ptCount val="20"/>
                <c:pt idx="0">
                  <c:v>1</c:v>
                </c:pt>
                <c:pt idx="1">
                  <c:v>1</c:v>
                </c:pt>
                <c:pt idx="2">
                  <c:v>1</c:v>
                </c:pt>
                <c:pt idx="3">
                  <c:v>1</c:v>
                </c:pt>
                <c:pt idx="4">
                  <c:v>1</c:v>
                </c:pt>
                <c:pt idx="5">
                  <c:v>1</c:v>
                </c:pt>
                <c:pt idx="6">
                  <c:v>0.99</c:v>
                </c:pt>
                <c:pt idx="7">
                  <c:v>0.98</c:v>
                </c:pt>
                <c:pt idx="8">
                  <c:v>0.94</c:v>
                </c:pt>
                <c:pt idx="9">
                  <c:v>0.89</c:v>
                </c:pt>
                <c:pt idx="10">
                  <c:v>0.83</c:v>
                </c:pt>
                <c:pt idx="11">
                  <c:v>0.77</c:v>
                </c:pt>
                <c:pt idx="12">
                  <c:v>0.71</c:v>
                </c:pt>
                <c:pt idx="13">
                  <c:v>0.73</c:v>
                </c:pt>
                <c:pt idx="14">
                  <c:v>0.69</c:v>
                </c:pt>
                <c:pt idx="15">
                  <c:v>0.61</c:v>
                </c:pt>
                <c:pt idx="16">
                  <c:v>0.53</c:v>
                </c:pt>
                <c:pt idx="17">
                  <c:v>0.46</c:v>
                </c:pt>
                <c:pt idx="18">
                  <c:v>0.4</c:v>
                </c:pt>
                <c:pt idx="19">
                  <c:v>0.32</c:v>
                </c:pt>
              </c:numCache>
            </c:numRef>
          </c:val>
          <c:smooth val="0"/>
          <c:extLst>
            <c:ext xmlns:c16="http://schemas.microsoft.com/office/drawing/2014/chart" uri="{C3380CC4-5D6E-409C-BE32-E72D297353CC}">
              <c16:uniqueId val="{00000004-00F5-422E-9923-5A6D776DEC76}"/>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Maintenance'!$G$35:$G$54</c:f>
              <c:numCache>
                <c:formatCode>0%</c:formatCode>
                <c:ptCount val="20"/>
                <c:pt idx="0">
                  <c:v>1</c:v>
                </c:pt>
                <c:pt idx="1">
                  <c:v>1</c:v>
                </c:pt>
                <c:pt idx="2">
                  <c:v>1</c:v>
                </c:pt>
                <c:pt idx="3">
                  <c:v>1</c:v>
                </c:pt>
                <c:pt idx="4">
                  <c:v>1</c:v>
                </c:pt>
                <c:pt idx="5">
                  <c:v>1</c:v>
                </c:pt>
                <c:pt idx="6">
                  <c:v>0.99</c:v>
                </c:pt>
                <c:pt idx="7">
                  <c:v>0.99</c:v>
                </c:pt>
                <c:pt idx="8">
                  <c:v>0.97</c:v>
                </c:pt>
                <c:pt idx="9">
                  <c:v>0.92</c:v>
                </c:pt>
                <c:pt idx="10">
                  <c:v>0.87</c:v>
                </c:pt>
                <c:pt idx="11">
                  <c:v>0.81</c:v>
                </c:pt>
                <c:pt idx="12">
                  <c:v>0.75</c:v>
                </c:pt>
                <c:pt idx="13">
                  <c:v>0.69</c:v>
                </c:pt>
                <c:pt idx="14">
                  <c:v>0.7</c:v>
                </c:pt>
                <c:pt idx="15">
                  <c:v>0.67</c:v>
                </c:pt>
                <c:pt idx="16">
                  <c:v>0.59</c:v>
                </c:pt>
                <c:pt idx="17">
                  <c:v>0.51</c:v>
                </c:pt>
                <c:pt idx="18">
                  <c:v>0.44</c:v>
                </c:pt>
                <c:pt idx="19">
                  <c:v>0.38</c:v>
                </c:pt>
              </c:numCache>
            </c:numRef>
          </c:val>
          <c:smooth val="0"/>
          <c:extLst>
            <c:ext xmlns:c16="http://schemas.microsoft.com/office/drawing/2014/chart" uri="{C3380CC4-5D6E-409C-BE32-E72D297353CC}">
              <c16:uniqueId val="{00000005-00F5-422E-9923-5A6D776DEC76}"/>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Maintenance'!$H$35:$H$54</c:f>
              <c:numCache>
                <c:formatCode>0%</c:formatCode>
                <c:ptCount val="20"/>
                <c:pt idx="0">
                  <c:v>1</c:v>
                </c:pt>
                <c:pt idx="1">
                  <c:v>1</c:v>
                </c:pt>
                <c:pt idx="2">
                  <c:v>1</c:v>
                </c:pt>
                <c:pt idx="3">
                  <c:v>1</c:v>
                </c:pt>
                <c:pt idx="4">
                  <c:v>1</c:v>
                </c:pt>
                <c:pt idx="5">
                  <c:v>1</c:v>
                </c:pt>
                <c:pt idx="6">
                  <c:v>0.99</c:v>
                </c:pt>
                <c:pt idx="7">
                  <c:v>0.98</c:v>
                </c:pt>
                <c:pt idx="8">
                  <c:v>0.95</c:v>
                </c:pt>
                <c:pt idx="9">
                  <c:v>0.9</c:v>
                </c:pt>
                <c:pt idx="10">
                  <c:v>0.86</c:v>
                </c:pt>
                <c:pt idx="11">
                  <c:v>0.81</c:v>
                </c:pt>
                <c:pt idx="12">
                  <c:v>0.75</c:v>
                </c:pt>
                <c:pt idx="13">
                  <c:v>0.68</c:v>
                </c:pt>
                <c:pt idx="14">
                  <c:v>0.62</c:v>
                </c:pt>
                <c:pt idx="15">
                  <c:v>0.64</c:v>
                </c:pt>
                <c:pt idx="16">
                  <c:v>0.6</c:v>
                </c:pt>
                <c:pt idx="17">
                  <c:v>0.53</c:v>
                </c:pt>
                <c:pt idx="18">
                  <c:v>0.45</c:v>
                </c:pt>
                <c:pt idx="19">
                  <c:v>0.38</c:v>
                </c:pt>
              </c:numCache>
            </c:numRef>
          </c:val>
          <c:smooth val="0"/>
          <c:extLst>
            <c:ext xmlns:c16="http://schemas.microsoft.com/office/drawing/2014/chart" uri="{C3380CC4-5D6E-409C-BE32-E72D297353CC}">
              <c16:uniqueId val="{00000006-00F5-422E-9923-5A6D776DEC76}"/>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Maintenance'!$I$35:$I$54</c:f>
              <c:numCache>
                <c:formatCode>0%</c:formatCode>
                <c:ptCount val="20"/>
                <c:pt idx="0">
                  <c:v>1</c:v>
                </c:pt>
                <c:pt idx="1">
                  <c:v>0.99994622788621801</c:v>
                </c:pt>
                <c:pt idx="2">
                  <c:v>0.99959893048128301</c:v>
                </c:pt>
                <c:pt idx="3">
                  <c:v>0.99929292822693805</c:v>
                </c:pt>
                <c:pt idx="4">
                  <c:v>0.99652387662245001</c:v>
                </c:pt>
                <c:pt idx="5">
                  <c:v>0.99079997974307499</c:v>
                </c:pt>
                <c:pt idx="6">
                  <c:v>0.97728590814137495</c:v>
                </c:pt>
                <c:pt idx="7">
                  <c:v>0.92753819497355805</c:v>
                </c:pt>
                <c:pt idx="8">
                  <c:v>0.87764022496044702</c:v>
                </c:pt>
                <c:pt idx="9">
                  <c:v>0.83908548128731597</c:v>
                </c:pt>
                <c:pt idx="10">
                  <c:v>0.80182445471025099</c:v>
                </c:pt>
                <c:pt idx="11">
                  <c:v>0.756017673955791</c:v>
                </c:pt>
                <c:pt idx="12">
                  <c:v>0.70191460812304596</c:v>
                </c:pt>
                <c:pt idx="13">
                  <c:v>0.64237563140976595</c:v>
                </c:pt>
                <c:pt idx="14">
                  <c:v>0.582858919924094</c:v>
                </c:pt>
                <c:pt idx="15">
                  <c:v>0.52401262201926702</c:v>
                </c:pt>
                <c:pt idx="16">
                  <c:v>0.53614658130239501</c:v>
                </c:pt>
                <c:pt idx="17">
                  <c:v>0.49336214412980001</c:v>
                </c:pt>
                <c:pt idx="18">
                  <c:v>0.41773243617037797</c:v>
                </c:pt>
                <c:pt idx="19">
                  <c:v>0.33153409743436602</c:v>
                </c:pt>
              </c:numCache>
            </c:numRef>
          </c:val>
          <c:smooth val="0"/>
          <c:extLst>
            <c:ext xmlns:c16="http://schemas.microsoft.com/office/drawing/2014/chart" uri="{C3380CC4-5D6E-409C-BE32-E72D297353CC}">
              <c16:uniqueId val="{00000007-00F5-422E-9923-5A6D776DEC76}"/>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Maintenance'!$J$35:$J$54</c:f>
              <c:numCache>
                <c:formatCode>0%</c:formatCode>
                <c:ptCount val="20"/>
                <c:pt idx="0">
                  <c:v>1</c:v>
                </c:pt>
                <c:pt idx="1">
                  <c:v>0.99983810037776599</c:v>
                </c:pt>
                <c:pt idx="2">
                  <c:v>0.99987200491501105</c:v>
                </c:pt>
                <c:pt idx="3">
                  <c:v>0.99935395565288798</c:v>
                </c:pt>
                <c:pt idx="4">
                  <c:v>0.99714225495301101</c:v>
                </c:pt>
                <c:pt idx="5">
                  <c:v>0.99204974008765701</c:v>
                </c:pt>
                <c:pt idx="6">
                  <c:v>0.97880907900575798</c:v>
                </c:pt>
                <c:pt idx="7">
                  <c:v>0.93545314797487</c:v>
                </c:pt>
                <c:pt idx="8">
                  <c:v>0.87264328332238805</c:v>
                </c:pt>
                <c:pt idx="9">
                  <c:v>0.83194244604316503</c:v>
                </c:pt>
                <c:pt idx="10">
                  <c:v>0.78849743480836498</c:v>
                </c:pt>
                <c:pt idx="11">
                  <c:v>0.74447551712662696</c:v>
                </c:pt>
                <c:pt idx="12">
                  <c:v>0.69754050823184099</c:v>
                </c:pt>
                <c:pt idx="13">
                  <c:v>0.648460897765333</c:v>
                </c:pt>
                <c:pt idx="14">
                  <c:v>0.58448321227734201</c:v>
                </c:pt>
                <c:pt idx="15">
                  <c:v>0.52264638146416398</c:v>
                </c:pt>
                <c:pt idx="16">
                  <c:v>0.46567376614051098</c:v>
                </c:pt>
                <c:pt idx="17">
                  <c:v>0.476794263448578</c:v>
                </c:pt>
                <c:pt idx="18">
                  <c:v>0.43244492957960001</c:v>
                </c:pt>
                <c:pt idx="19">
                  <c:v>0.34564524900940102</c:v>
                </c:pt>
              </c:numCache>
            </c:numRef>
          </c:val>
          <c:smooth val="0"/>
          <c:extLst>
            <c:ext xmlns:c16="http://schemas.microsoft.com/office/drawing/2014/chart" uri="{C3380CC4-5D6E-409C-BE32-E72D297353CC}">
              <c16:uniqueId val="{00000008-00F5-422E-9923-5A6D776DEC76}"/>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Maintenance'!$K$35:$K$54</c:f>
              <c:numCache>
                <c:formatCode>0%</c:formatCode>
                <c:ptCount val="20"/>
                <c:pt idx="0">
                  <c:v>1</c:v>
                </c:pt>
                <c:pt idx="1">
                  <c:v>0.99990331625253792</c:v>
                </c:pt>
                <c:pt idx="2">
                  <c:v>0.99977400619223034</c:v>
                </c:pt>
                <c:pt idx="3">
                  <c:v>0.99903394841870041</c:v>
                </c:pt>
                <c:pt idx="4">
                  <c:v>0.9960653243457277</c:v>
                </c:pt>
                <c:pt idx="5">
                  <c:v>0.99081035923141181</c:v>
                </c:pt>
                <c:pt idx="6">
                  <c:v>0.97381371793460314</c:v>
                </c:pt>
                <c:pt idx="7">
                  <c:v>0.92255979734667037</c:v>
                </c:pt>
                <c:pt idx="8">
                  <c:v>0.87008336008679188</c:v>
                </c:pt>
                <c:pt idx="9">
                  <c:v>0.81674449819635919</c:v>
                </c:pt>
                <c:pt idx="10">
                  <c:v>0.76218398594089198</c:v>
                </c:pt>
                <c:pt idx="11">
                  <c:v>0.7106490781661533</c:v>
                </c:pt>
                <c:pt idx="12">
                  <c:v>0.6682683056253681</c:v>
                </c:pt>
                <c:pt idx="13">
                  <c:v>0.62741688403096929</c:v>
                </c:pt>
                <c:pt idx="14">
                  <c:v>0.57479747762216293</c:v>
                </c:pt>
                <c:pt idx="15">
                  <c:v>0.50910915075063312</c:v>
                </c:pt>
                <c:pt idx="16">
                  <c:v>0.45240873690352368</c:v>
                </c:pt>
                <c:pt idx="17">
                  <c:v>0.39986409646586707</c:v>
                </c:pt>
                <c:pt idx="18">
                  <c:v>0.40290109144375952</c:v>
                </c:pt>
                <c:pt idx="19">
                  <c:v>0.33598605426709111</c:v>
                </c:pt>
              </c:numCache>
            </c:numRef>
          </c:val>
          <c:smooth val="0"/>
          <c:extLst>
            <c:ext xmlns:c16="http://schemas.microsoft.com/office/drawing/2014/chart" uri="{C3380CC4-5D6E-409C-BE32-E72D297353CC}">
              <c16:uniqueId val="{00000009-00F5-422E-9923-5A6D776DEC76}"/>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Maintenance'!$L$35:$L$54</c:f>
              <c:numCache>
                <c:formatCode>0%</c:formatCode>
                <c:ptCount val="20"/>
                <c:pt idx="0">
                  <c:v>0.99966655551850614</c:v>
                </c:pt>
                <c:pt idx="1">
                  <c:v>0.99943342776203969</c:v>
                </c:pt>
                <c:pt idx="2">
                  <c:v>0.99887710868543378</c:v>
                </c:pt>
                <c:pt idx="3">
                  <c:v>0.99478305127878863</c:v>
                </c:pt>
                <c:pt idx="4">
                  <c:v>0.99136785758261126</c:v>
                </c:pt>
                <c:pt idx="5">
                  <c:v>0.98001684577075054</c:v>
                </c:pt>
                <c:pt idx="6">
                  <c:v>0.93630049250204284</c:v>
                </c:pt>
                <c:pt idx="7">
                  <c:v>0.88441045265571394</c:v>
                </c:pt>
                <c:pt idx="8">
                  <c:v>0.83088495967384557</c:v>
                </c:pt>
                <c:pt idx="9">
                  <c:v>0.7857958169671333</c:v>
                </c:pt>
                <c:pt idx="10">
                  <c:v>0.71989912278182144</c:v>
                </c:pt>
                <c:pt idx="11">
                  <c:v>0.69766987581972928</c:v>
                </c:pt>
                <c:pt idx="12">
                  <c:v>0.64765609508590627</c:v>
                </c:pt>
                <c:pt idx="13">
                  <c:v>0.59165168220318931</c:v>
                </c:pt>
                <c:pt idx="14">
                  <c:v>0.54156111790166106</c:v>
                </c:pt>
                <c:pt idx="15">
                  <c:v>0.48495304518063076</c:v>
                </c:pt>
                <c:pt idx="16">
                  <c:v>0.4197627957125642</c:v>
                </c:pt>
                <c:pt idx="17">
                  <c:v>0.42176743984229997</c:v>
                </c:pt>
                <c:pt idx="18">
                  <c:v>0.40457373109006078</c:v>
                </c:pt>
                <c:pt idx="19">
                  <c:v>0.32243524542332003</c:v>
                </c:pt>
              </c:numCache>
            </c:numRef>
          </c:val>
          <c:smooth val="0"/>
          <c:extLst>
            <c:ext xmlns:c16="http://schemas.microsoft.com/office/drawing/2014/chart" uri="{C3380CC4-5D6E-409C-BE32-E72D297353CC}">
              <c16:uniqueId val="{0000000A-00F5-422E-9923-5A6D776DEC76}"/>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Maintenance'!$M$35:$M$54</c:f>
              <c:numCache>
                <c:formatCode>0%</c:formatCode>
                <c:ptCount val="20"/>
                <c:pt idx="0">
                  <c:v>1</c:v>
                </c:pt>
                <c:pt idx="1">
                  <c:v>0.9998385881846551</c:v>
                </c:pt>
                <c:pt idx="2">
                  <c:v>0.9998675180837816</c:v>
                </c:pt>
                <c:pt idx="3">
                  <c:v>0.99892612897756172</c:v>
                </c:pt>
                <c:pt idx="4">
                  <c:v>0.99604693715691728</c:v>
                </c:pt>
                <c:pt idx="5">
                  <c:v>0.98963665086887831</c:v>
                </c:pt>
                <c:pt idx="6">
                  <c:v>0.97313211030864577</c:v>
                </c:pt>
                <c:pt idx="7">
                  <c:v>0.92427669960709613</c:v>
                </c:pt>
                <c:pt idx="8">
                  <c:v>0.86286731001860617</c:v>
                </c:pt>
                <c:pt idx="9">
                  <c:v>0.81570907763263156</c:v>
                </c:pt>
                <c:pt idx="10">
                  <c:v>0.7535724122734534</c:v>
                </c:pt>
                <c:pt idx="11">
                  <c:v>0.68460341972782668</c:v>
                </c:pt>
                <c:pt idx="12">
                  <c:v>0.63556009033900052</c:v>
                </c:pt>
                <c:pt idx="13">
                  <c:v>0.58485971413446269</c:v>
                </c:pt>
                <c:pt idx="14">
                  <c:v>0.53398346703018229</c:v>
                </c:pt>
                <c:pt idx="15">
                  <c:v>0.48915755246822346</c:v>
                </c:pt>
                <c:pt idx="16">
                  <c:v>0.43654780386161468</c:v>
                </c:pt>
                <c:pt idx="17">
                  <c:v>0.38389793709137837</c:v>
                </c:pt>
                <c:pt idx="18">
                  <c:v>0.33511103783276475</c:v>
                </c:pt>
                <c:pt idx="19">
                  <c:v>0.28124379034274105</c:v>
                </c:pt>
              </c:numCache>
            </c:numRef>
          </c:val>
          <c:smooth val="0"/>
          <c:extLst>
            <c:ext xmlns:c16="http://schemas.microsoft.com/office/drawing/2014/chart" uri="{C3380CC4-5D6E-409C-BE32-E72D297353CC}">
              <c16:uniqueId val="{0000000B-00F5-422E-9923-5A6D776DEC76}"/>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Maintenance'!$N$35:$N$54</c:f>
              <c:numCache>
                <c:formatCode>0%</c:formatCode>
                <c:ptCount val="20"/>
                <c:pt idx="0">
                  <c:v>1</c:v>
                </c:pt>
                <c:pt idx="1">
                  <c:v>0.9998460117031106</c:v>
                </c:pt>
                <c:pt idx="2">
                  <c:v>0.99962627067968901</c:v>
                </c:pt>
                <c:pt idx="3">
                  <c:v>0.99822042218949436</c:v>
                </c:pt>
                <c:pt idx="4">
                  <c:v>0.99503981602671532</c:v>
                </c:pt>
                <c:pt idx="5">
                  <c:v>0.98904138619493509</c:v>
                </c:pt>
                <c:pt idx="6">
                  <c:v>0.97267440891747337</c:v>
                </c:pt>
                <c:pt idx="7">
                  <c:v>0.9248788502850418</c:v>
                </c:pt>
                <c:pt idx="8">
                  <c:v>0.86576034390112844</c:v>
                </c:pt>
                <c:pt idx="9">
                  <c:v>0.81172866189724857</c:v>
                </c:pt>
                <c:pt idx="10">
                  <c:v>0.75157355674714355</c:v>
                </c:pt>
                <c:pt idx="11">
                  <c:v>0.68663029249672747</c:v>
                </c:pt>
                <c:pt idx="12">
                  <c:v>0.62845290793173525</c:v>
                </c:pt>
                <c:pt idx="13">
                  <c:v>0.5742962224590108</c:v>
                </c:pt>
                <c:pt idx="14">
                  <c:v>0.51828065993070949</c:v>
                </c:pt>
                <c:pt idx="15">
                  <c:v>0.47442101523965924</c:v>
                </c:pt>
                <c:pt idx="16">
                  <c:v>0.43367775190041025</c:v>
                </c:pt>
                <c:pt idx="17">
                  <c:v>0.38372683272340929</c:v>
                </c:pt>
                <c:pt idx="18">
                  <c:v>0.33273809159791828</c:v>
                </c:pt>
                <c:pt idx="19">
                  <c:v>0.277830269440763</c:v>
                </c:pt>
              </c:numCache>
            </c:numRef>
          </c:val>
          <c:smooth val="0"/>
          <c:extLst>
            <c:ext xmlns:c16="http://schemas.microsoft.com/office/drawing/2014/chart" uri="{C3380CC4-5D6E-409C-BE32-E72D297353CC}">
              <c16:uniqueId val="{00000001-38DD-48BA-B216-D792DA610DBA}"/>
            </c:ext>
          </c:extLst>
        </c:ser>
        <c:dLbls>
          <c:showLegendKey val="0"/>
          <c:showVal val="0"/>
          <c:showCatName val="0"/>
          <c:showSerName val="0"/>
          <c:showPercent val="0"/>
          <c:showBubbleSize val="0"/>
        </c:dLbls>
        <c:smooth val="0"/>
        <c:axId val="621911288"/>
        <c:axId val="621912464"/>
      </c:lineChart>
      <c:catAx>
        <c:axId val="62191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2464"/>
        <c:crosses val="autoZero"/>
        <c:auto val="1"/>
        <c:lblAlgn val="ctr"/>
        <c:lblOffset val="100"/>
        <c:noMultiLvlLbl val="0"/>
      </c:catAx>
      <c:valAx>
        <c:axId val="62191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1288"/>
        <c:crosses val="autoZero"/>
        <c:crossBetween val="between"/>
        <c:majorUnit val="0.25"/>
        <c:minorUnit val="0.05"/>
      </c:valAx>
      <c:spPr>
        <a:noFill/>
        <a:ln>
          <a:noFill/>
        </a:ln>
        <a:effectLst/>
      </c:spPr>
    </c:plotArea>
    <c:legend>
      <c:legendPos val="b"/>
      <c:layout>
        <c:manualLayout>
          <c:xMode val="edge"/>
          <c:yMode val="edge"/>
          <c:x val="8.8522319107616182E-2"/>
          <c:y val="0.90446427474743019"/>
          <c:w val="0.82772796976568597"/>
          <c:h val="9.5535725252569814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Maintenance'!$B$61:$B$80</c:f>
              <c:numCache>
                <c:formatCode>0%</c:formatCode>
                <c:ptCount val="20"/>
                <c:pt idx="0">
                  <c:v>1</c:v>
                </c:pt>
                <c:pt idx="1">
                  <c:v>0.99967744908303402</c:v>
                </c:pt>
                <c:pt idx="2">
                  <c:v>0.99944910663459197</c:v>
                </c:pt>
                <c:pt idx="3">
                  <c:v>0.99774016057492598</c:v>
                </c:pt>
                <c:pt idx="4">
                  <c:v>0.97247694721134603</c:v>
                </c:pt>
                <c:pt idx="5">
                  <c:v>0.87840416752630501</c:v>
                </c:pt>
                <c:pt idx="6">
                  <c:v>0.83278416091229501</c:v>
                </c:pt>
                <c:pt idx="7">
                  <c:v>0.80909245490099102</c:v>
                </c:pt>
                <c:pt idx="8">
                  <c:v>0.77302922556586595</c:v>
                </c:pt>
                <c:pt idx="9">
                  <c:v>0.71385938734310495</c:v>
                </c:pt>
                <c:pt idx="10">
                  <c:v>0.61670305887808896</c:v>
                </c:pt>
                <c:pt idx="11">
                  <c:v>0.56618938861560097</c:v>
                </c:pt>
                <c:pt idx="12">
                  <c:v>0.515229224628039</c:v>
                </c:pt>
                <c:pt idx="13">
                  <c:v>0.38328559738134199</c:v>
                </c:pt>
                <c:pt idx="14">
                  <c:v>0.30401711433325401</c:v>
                </c:pt>
                <c:pt idx="15">
                  <c:v>0.28223156285823497</c:v>
                </c:pt>
                <c:pt idx="16">
                  <c:v>0.28379538076937399</c:v>
                </c:pt>
                <c:pt idx="17">
                  <c:v>0.24966318234610901</c:v>
                </c:pt>
                <c:pt idx="18">
                  <c:v>0.210014058613604</c:v>
                </c:pt>
                <c:pt idx="19">
                  <c:v>0.17141986593540501</c:v>
                </c:pt>
              </c:numCache>
            </c:numRef>
          </c:val>
          <c:smooth val="0"/>
          <c:extLst>
            <c:ext xmlns:c16="http://schemas.microsoft.com/office/drawing/2014/chart" uri="{C3380CC4-5D6E-409C-BE32-E72D297353CC}">
              <c16:uniqueId val="{00000000-01CB-4052-AC3A-C1CB69D445EE}"/>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Maintenance'!$C$61:$C$80</c:f>
              <c:numCache>
                <c:formatCode>0%</c:formatCode>
                <c:ptCount val="20"/>
                <c:pt idx="0">
                  <c:v>0.99984818582055601</c:v>
                </c:pt>
                <c:pt idx="1">
                  <c:v>0.99958375728424798</c:v>
                </c:pt>
                <c:pt idx="2">
                  <c:v>0.99938865963625201</c:v>
                </c:pt>
                <c:pt idx="3">
                  <c:v>0.99880979629205802</c:v>
                </c:pt>
                <c:pt idx="4">
                  <c:v>0.98675905598243696</c:v>
                </c:pt>
                <c:pt idx="5">
                  <c:v>0.91769690062681197</c:v>
                </c:pt>
                <c:pt idx="6">
                  <c:v>0.83641383354304399</c:v>
                </c:pt>
                <c:pt idx="7">
                  <c:v>0.80723053550061197</c:v>
                </c:pt>
                <c:pt idx="8">
                  <c:v>0.77734113202948896</c:v>
                </c:pt>
                <c:pt idx="9">
                  <c:v>0.73589583550053705</c:v>
                </c:pt>
                <c:pt idx="10">
                  <c:v>0.66711133734707095</c:v>
                </c:pt>
                <c:pt idx="11">
                  <c:v>0.58009352295563499</c:v>
                </c:pt>
                <c:pt idx="12">
                  <c:v>0.52652846099789197</c:v>
                </c:pt>
                <c:pt idx="13">
                  <c:v>0.47566286046061501</c:v>
                </c:pt>
                <c:pt idx="14">
                  <c:v>0.352140913647429</c:v>
                </c:pt>
                <c:pt idx="15">
                  <c:v>0.27879940359141703</c:v>
                </c:pt>
                <c:pt idx="16">
                  <c:v>0.25423512928289399</c:v>
                </c:pt>
                <c:pt idx="17">
                  <c:v>0.25353531584642403</c:v>
                </c:pt>
                <c:pt idx="18">
                  <c:v>0.216957026713124</c:v>
                </c:pt>
                <c:pt idx="19">
                  <c:v>0.17924732345625599</c:v>
                </c:pt>
              </c:numCache>
            </c:numRef>
          </c:val>
          <c:smooth val="0"/>
          <c:extLst>
            <c:ext xmlns:c16="http://schemas.microsoft.com/office/drawing/2014/chart" uri="{C3380CC4-5D6E-409C-BE32-E72D297353CC}">
              <c16:uniqueId val="{00000001-01CB-4052-AC3A-C1CB69D445EE}"/>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Maintenance'!$D$61:$D$80</c:f>
              <c:numCache>
                <c:formatCode>0%</c:formatCode>
                <c:ptCount val="20"/>
                <c:pt idx="0">
                  <c:v>0.99986876640419997</c:v>
                </c:pt>
                <c:pt idx="1">
                  <c:v>0.99943813460689501</c:v>
                </c:pt>
                <c:pt idx="2">
                  <c:v>0.99921957649017501</c:v>
                </c:pt>
                <c:pt idx="3">
                  <c:v>0.999003619206705</c:v>
                </c:pt>
                <c:pt idx="4">
                  <c:v>0.98969965618162703</c:v>
                </c:pt>
                <c:pt idx="5">
                  <c:v>0.93078373630915501</c:v>
                </c:pt>
                <c:pt idx="6">
                  <c:v>0.846674703410358</c:v>
                </c:pt>
                <c:pt idx="7">
                  <c:v>0.79951621454449096</c:v>
                </c:pt>
                <c:pt idx="8">
                  <c:v>0.76178424959767399</c:v>
                </c:pt>
                <c:pt idx="9">
                  <c:v>0.71362001183952894</c:v>
                </c:pt>
                <c:pt idx="10">
                  <c:v>0.66774707941900402</c:v>
                </c:pt>
                <c:pt idx="11">
                  <c:v>0.60235190873190003</c:v>
                </c:pt>
                <c:pt idx="12">
                  <c:v>0.51624995169455501</c:v>
                </c:pt>
                <c:pt idx="13">
                  <c:v>0.45433584400184501</c:v>
                </c:pt>
                <c:pt idx="14">
                  <c:v>0.41864234565511899</c:v>
                </c:pt>
                <c:pt idx="15">
                  <c:v>0.306969988339027</c:v>
                </c:pt>
                <c:pt idx="16">
                  <c:v>0.24217213734684601</c:v>
                </c:pt>
                <c:pt idx="17">
                  <c:v>0.21510635587823199</c:v>
                </c:pt>
                <c:pt idx="18">
                  <c:v>0.21368605649042899</c:v>
                </c:pt>
                <c:pt idx="19">
                  <c:v>0.169477351916376</c:v>
                </c:pt>
              </c:numCache>
            </c:numRef>
          </c:val>
          <c:smooth val="0"/>
          <c:extLst>
            <c:ext xmlns:c16="http://schemas.microsoft.com/office/drawing/2014/chart" uri="{C3380CC4-5D6E-409C-BE32-E72D297353CC}">
              <c16:uniqueId val="{00000002-01CB-4052-AC3A-C1CB69D445EE}"/>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Maintenance'!$E$61:$E$80</c:f>
              <c:numCache>
                <c:formatCode>0%</c:formatCode>
                <c:ptCount val="20"/>
                <c:pt idx="0">
                  <c:v>0.999927373084465</c:v>
                </c:pt>
                <c:pt idx="1">
                  <c:v>0.99958946922343495</c:v>
                </c:pt>
                <c:pt idx="2">
                  <c:v>0.99810196657352201</c:v>
                </c:pt>
                <c:pt idx="3">
                  <c:v>0.97946932404850495</c:v>
                </c:pt>
                <c:pt idx="4">
                  <c:v>0.94536574425935405</c:v>
                </c:pt>
                <c:pt idx="5">
                  <c:v>0.84392727432327197</c:v>
                </c:pt>
                <c:pt idx="6">
                  <c:v>0.78163186466868595</c:v>
                </c:pt>
                <c:pt idx="7">
                  <c:v>0.72843737161884603</c:v>
                </c:pt>
                <c:pt idx="8">
                  <c:v>0.68173577477920799</c:v>
                </c:pt>
                <c:pt idx="9">
                  <c:v>0.62715464918669594</c:v>
                </c:pt>
                <c:pt idx="10">
                  <c:v>0.58008215331819701</c:v>
                </c:pt>
                <c:pt idx="11">
                  <c:v>0.51781389308154002</c:v>
                </c:pt>
                <c:pt idx="12">
                  <c:v>0.43713650854989899</c:v>
                </c:pt>
                <c:pt idx="13">
                  <c:v>0.381071585419411</c:v>
                </c:pt>
                <c:pt idx="14">
                  <c:v>0.34996129281981803</c:v>
                </c:pt>
                <c:pt idx="15">
                  <c:v>0.25494568441725801</c:v>
                </c:pt>
                <c:pt idx="16">
                  <c:v>0.200877325669339</c:v>
                </c:pt>
                <c:pt idx="17">
                  <c:v>0.17098458795058</c:v>
                </c:pt>
                <c:pt idx="18">
                  <c:v>0.15118838849296701</c:v>
                </c:pt>
                <c:pt idx="19">
                  <c:v>2.53193960511034E-2</c:v>
                </c:pt>
              </c:numCache>
            </c:numRef>
          </c:val>
          <c:smooth val="0"/>
          <c:extLst>
            <c:ext xmlns:c16="http://schemas.microsoft.com/office/drawing/2014/chart" uri="{C3380CC4-5D6E-409C-BE32-E72D297353CC}">
              <c16:uniqueId val="{00000003-01CB-4052-AC3A-C1CB69D445EE}"/>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Maintenance'!$F$61:$F$80</c:f>
              <c:numCache>
                <c:formatCode>0%</c:formatCode>
                <c:ptCount val="20"/>
                <c:pt idx="0">
                  <c:v>1</c:v>
                </c:pt>
                <c:pt idx="1">
                  <c:v>1</c:v>
                </c:pt>
                <c:pt idx="2">
                  <c:v>0.99996070340897902</c:v>
                </c:pt>
                <c:pt idx="3">
                  <c:v>0.97831230283911697</c:v>
                </c:pt>
                <c:pt idx="4">
                  <c:v>0.94604379110650205</c:v>
                </c:pt>
                <c:pt idx="5">
                  <c:v>0.92025416306933605</c:v>
                </c:pt>
                <c:pt idx="6">
                  <c:v>0.88668438538205996</c:v>
                </c:pt>
                <c:pt idx="7">
                  <c:v>0.83862645403660196</c:v>
                </c:pt>
                <c:pt idx="8">
                  <c:v>0.79073528090621803</c:v>
                </c:pt>
                <c:pt idx="9">
                  <c:v>0.73697964761939905</c:v>
                </c:pt>
                <c:pt idx="10">
                  <c:v>0.67325434052864397</c:v>
                </c:pt>
                <c:pt idx="11">
                  <c:v>0.61746180560140496</c:v>
                </c:pt>
                <c:pt idx="12">
                  <c:v>0.56962853002509495</c:v>
                </c:pt>
                <c:pt idx="13">
                  <c:v>0.51759348034515795</c:v>
                </c:pt>
                <c:pt idx="14">
                  <c:v>0.46650415033789</c:v>
                </c:pt>
                <c:pt idx="15">
                  <c:v>0.437907991811194</c:v>
                </c:pt>
                <c:pt idx="16">
                  <c:v>0.39616063358154402</c:v>
                </c:pt>
                <c:pt idx="17">
                  <c:v>0.36492890995260702</c:v>
                </c:pt>
                <c:pt idx="18">
                  <c:v>0.3189111747851</c:v>
                </c:pt>
                <c:pt idx="19">
                  <c:v>0.27968206656731198</c:v>
                </c:pt>
              </c:numCache>
            </c:numRef>
          </c:val>
          <c:smooth val="0"/>
          <c:extLst>
            <c:ext xmlns:c16="http://schemas.microsoft.com/office/drawing/2014/chart" uri="{C3380CC4-5D6E-409C-BE32-E72D297353CC}">
              <c16:uniqueId val="{00000004-01CB-4052-AC3A-C1CB69D445EE}"/>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Maintenance'!$G$61:$G$80</c:f>
              <c:numCache>
                <c:formatCode>0%</c:formatCode>
                <c:ptCount val="20"/>
                <c:pt idx="0">
                  <c:v>1</c:v>
                </c:pt>
                <c:pt idx="1">
                  <c:v>1</c:v>
                </c:pt>
                <c:pt idx="2">
                  <c:v>1</c:v>
                </c:pt>
                <c:pt idx="3">
                  <c:v>1</c:v>
                </c:pt>
                <c:pt idx="4">
                  <c:v>0.98</c:v>
                </c:pt>
                <c:pt idx="5">
                  <c:v>0.94</c:v>
                </c:pt>
                <c:pt idx="6">
                  <c:v>0.88</c:v>
                </c:pt>
                <c:pt idx="7">
                  <c:v>0.83</c:v>
                </c:pt>
                <c:pt idx="8">
                  <c:v>0.74</c:v>
                </c:pt>
                <c:pt idx="9">
                  <c:v>0.67</c:v>
                </c:pt>
                <c:pt idx="10">
                  <c:v>0.61</c:v>
                </c:pt>
                <c:pt idx="11">
                  <c:v>0.55000000000000004</c:v>
                </c:pt>
                <c:pt idx="12">
                  <c:v>0.5</c:v>
                </c:pt>
                <c:pt idx="13">
                  <c:v>0.46</c:v>
                </c:pt>
                <c:pt idx="14">
                  <c:v>0.41</c:v>
                </c:pt>
                <c:pt idx="15">
                  <c:v>0.35</c:v>
                </c:pt>
                <c:pt idx="16">
                  <c:v>0.3</c:v>
                </c:pt>
                <c:pt idx="17">
                  <c:v>0.26</c:v>
                </c:pt>
                <c:pt idx="18">
                  <c:v>0.17</c:v>
                </c:pt>
                <c:pt idx="19">
                  <c:v>0.12</c:v>
                </c:pt>
              </c:numCache>
            </c:numRef>
          </c:val>
          <c:smooth val="0"/>
          <c:extLst>
            <c:ext xmlns:c16="http://schemas.microsoft.com/office/drawing/2014/chart" uri="{C3380CC4-5D6E-409C-BE32-E72D297353CC}">
              <c16:uniqueId val="{00000005-01CB-4052-AC3A-C1CB69D445EE}"/>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Maintenance'!$H$61:$H$80</c:f>
              <c:numCache>
                <c:formatCode>0%</c:formatCode>
                <c:ptCount val="20"/>
                <c:pt idx="0">
                  <c:v>1</c:v>
                </c:pt>
                <c:pt idx="1">
                  <c:v>0.99984721161191703</c:v>
                </c:pt>
                <c:pt idx="2">
                  <c:v>0.999574424183023</c:v>
                </c:pt>
                <c:pt idx="3">
                  <c:v>0.99842790751047095</c:v>
                </c:pt>
                <c:pt idx="4">
                  <c:v>0.98088478082637898</c:v>
                </c:pt>
                <c:pt idx="5">
                  <c:v>0.93122848746126297</c:v>
                </c:pt>
                <c:pt idx="6">
                  <c:v>0.87050022866351595</c:v>
                </c:pt>
                <c:pt idx="7">
                  <c:v>0.82277205189062697</c:v>
                </c:pt>
                <c:pt idx="8">
                  <c:v>0.77381308491090095</c:v>
                </c:pt>
                <c:pt idx="9">
                  <c:v>0.68091272033606798</c:v>
                </c:pt>
                <c:pt idx="10">
                  <c:v>0.60326775524270004</c:v>
                </c:pt>
                <c:pt idx="11">
                  <c:v>0.54119706514809296</c:v>
                </c:pt>
                <c:pt idx="12">
                  <c:v>0.49051522096621702</c:v>
                </c:pt>
                <c:pt idx="13">
                  <c:v>0.44726500265533697</c:v>
                </c:pt>
                <c:pt idx="14">
                  <c:v>0.40781309577454999</c:v>
                </c:pt>
                <c:pt idx="15">
                  <c:v>0.36139969114137299</c:v>
                </c:pt>
                <c:pt idx="16">
                  <c:v>0.30231659485673401</c:v>
                </c:pt>
                <c:pt idx="17">
                  <c:v>0.25468279935879101</c:v>
                </c:pt>
                <c:pt idx="18">
                  <c:v>0.212236307335011</c:v>
                </c:pt>
                <c:pt idx="19">
                  <c:v>0.12609700713949601</c:v>
                </c:pt>
              </c:numCache>
            </c:numRef>
          </c:val>
          <c:smooth val="0"/>
          <c:extLst>
            <c:ext xmlns:c16="http://schemas.microsoft.com/office/drawing/2014/chart" uri="{C3380CC4-5D6E-409C-BE32-E72D297353CC}">
              <c16:uniqueId val="{00000006-01CB-4052-AC3A-C1CB69D445EE}"/>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Maintenance'!$I$61:$I$80</c:f>
              <c:numCache>
                <c:formatCode>0%</c:formatCode>
                <c:ptCount val="20"/>
                <c:pt idx="0">
                  <c:v>1</c:v>
                </c:pt>
                <c:pt idx="1">
                  <c:v>0.99983878025749096</c:v>
                </c:pt>
                <c:pt idx="2">
                  <c:v>0.99969989871581699</c:v>
                </c:pt>
                <c:pt idx="3">
                  <c:v>0.99694539900725498</c:v>
                </c:pt>
                <c:pt idx="4">
                  <c:v>0.96892714215229403</c:v>
                </c:pt>
                <c:pt idx="5">
                  <c:v>0.89991010202374999</c:v>
                </c:pt>
                <c:pt idx="6">
                  <c:v>0.85164443325782402</c:v>
                </c:pt>
                <c:pt idx="7">
                  <c:v>0.81120860171425702</c:v>
                </c:pt>
                <c:pt idx="8">
                  <c:v>0.74936782413136305</c:v>
                </c:pt>
                <c:pt idx="9">
                  <c:v>0.69426737990753495</c:v>
                </c:pt>
                <c:pt idx="10">
                  <c:v>0.60128627418278902</c:v>
                </c:pt>
                <c:pt idx="11">
                  <c:v>0.52238427779410701</c:v>
                </c:pt>
                <c:pt idx="12">
                  <c:v>0.45918201955805299</c:v>
                </c:pt>
                <c:pt idx="13">
                  <c:v>0.40831811884136798</c:v>
                </c:pt>
                <c:pt idx="14">
                  <c:v>0.37344662772172099</c:v>
                </c:pt>
                <c:pt idx="15">
                  <c:v>0.34125966237997901</c:v>
                </c:pt>
                <c:pt idx="16">
                  <c:v>0.299996490242875</c:v>
                </c:pt>
                <c:pt idx="17">
                  <c:v>0.24978263809726201</c:v>
                </c:pt>
                <c:pt idx="18">
                  <c:v>0.19519532708228099</c:v>
                </c:pt>
                <c:pt idx="19">
                  <c:v>0.14304722275982201</c:v>
                </c:pt>
              </c:numCache>
            </c:numRef>
          </c:val>
          <c:smooth val="0"/>
          <c:extLst>
            <c:ext xmlns:c16="http://schemas.microsoft.com/office/drawing/2014/chart" uri="{C3380CC4-5D6E-409C-BE32-E72D297353CC}">
              <c16:uniqueId val="{00000007-01CB-4052-AC3A-C1CB69D445EE}"/>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Maintenance'!$J$61:$J$80</c:f>
              <c:numCache>
                <c:formatCode>0%</c:formatCode>
                <c:ptCount val="20"/>
                <c:pt idx="0">
                  <c:v>0.99990594431903701</c:v>
                </c:pt>
                <c:pt idx="1">
                  <c:v>0.99993218959788399</c:v>
                </c:pt>
                <c:pt idx="2">
                  <c:v>0.99969788884726496</c:v>
                </c:pt>
                <c:pt idx="3">
                  <c:v>0.99776051188299797</c:v>
                </c:pt>
                <c:pt idx="4">
                  <c:v>0.97073802617302496</c:v>
                </c:pt>
                <c:pt idx="5">
                  <c:v>0.90069925799260997</c:v>
                </c:pt>
                <c:pt idx="6">
                  <c:v>0.84656896818041405</c:v>
                </c:pt>
                <c:pt idx="7">
                  <c:v>0.80709506252316598</c:v>
                </c:pt>
                <c:pt idx="8">
                  <c:v>0.75022419265454199</c:v>
                </c:pt>
                <c:pt idx="9">
                  <c:v>0.68295017097141897</c:v>
                </c:pt>
                <c:pt idx="10">
                  <c:v>0.62769716964009303</c:v>
                </c:pt>
                <c:pt idx="11">
                  <c:v>0.54036024016010697</c:v>
                </c:pt>
                <c:pt idx="12">
                  <c:v>0.46301044971265798</c:v>
                </c:pt>
                <c:pt idx="13">
                  <c:v>0.396931222648441</c:v>
                </c:pt>
                <c:pt idx="14">
                  <c:v>0.353597741780937</c:v>
                </c:pt>
                <c:pt idx="15">
                  <c:v>0.32445186252939801</c:v>
                </c:pt>
                <c:pt idx="16">
                  <c:v>0.29659606918783998</c:v>
                </c:pt>
                <c:pt idx="17">
                  <c:v>0.259932612663204</c:v>
                </c:pt>
                <c:pt idx="18">
                  <c:v>0.20200166161099001</c:v>
                </c:pt>
                <c:pt idx="19">
                  <c:v>0.14049496036364401</c:v>
                </c:pt>
              </c:numCache>
            </c:numRef>
          </c:val>
          <c:smooth val="0"/>
          <c:extLst>
            <c:ext xmlns:c16="http://schemas.microsoft.com/office/drawing/2014/chart" uri="{C3380CC4-5D6E-409C-BE32-E72D297353CC}">
              <c16:uniqueId val="{00000008-01CB-4052-AC3A-C1CB69D445EE}"/>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Maintenance'!$K$61:$K$80</c:f>
              <c:numCache>
                <c:formatCode>0%</c:formatCode>
                <c:ptCount val="20"/>
                <c:pt idx="0">
                  <c:v>1</c:v>
                </c:pt>
                <c:pt idx="1">
                  <c:v>0.99980415623980001</c:v>
                </c:pt>
                <c:pt idx="2">
                  <c:v>0.99966677774075297</c:v>
                </c:pt>
                <c:pt idx="3">
                  <c:v>0.997699074125043</c:v>
                </c:pt>
                <c:pt idx="4">
                  <c:v>0.97432805336462203</c:v>
                </c:pt>
                <c:pt idx="5">
                  <c:v>0.91334954432138604</c:v>
                </c:pt>
                <c:pt idx="6">
                  <c:v>0.85501612074202105</c:v>
                </c:pt>
                <c:pt idx="7">
                  <c:v>0.80481467260761996</c:v>
                </c:pt>
                <c:pt idx="8">
                  <c:v>0.74887966003476902</c:v>
                </c:pt>
                <c:pt idx="9">
                  <c:v>0.68940210004933</c:v>
                </c:pt>
                <c:pt idx="10">
                  <c:v>0.61899693597806804</c:v>
                </c:pt>
                <c:pt idx="11">
                  <c:v>0.56692930198791402</c:v>
                </c:pt>
                <c:pt idx="12">
                  <c:v>0.48020555370246798</c:v>
                </c:pt>
                <c:pt idx="13">
                  <c:v>0.41053890516201602</c:v>
                </c:pt>
                <c:pt idx="14">
                  <c:v>0.35081311794262199</c:v>
                </c:pt>
                <c:pt idx="15">
                  <c:v>0.31402304803832698</c:v>
                </c:pt>
                <c:pt idx="16">
                  <c:v>0.287201274561869</c:v>
                </c:pt>
                <c:pt idx="17">
                  <c:v>0.25409892890568098</c:v>
                </c:pt>
                <c:pt idx="18">
                  <c:v>0.20932191492348701</c:v>
                </c:pt>
                <c:pt idx="19">
                  <c:v>0.15029851034642699</c:v>
                </c:pt>
              </c:numCache>
            </c:numRef>
          </c:val>
          <c:smooth val="0"/>
          <c:extLst>
            <c:ext xmlns:c16="http://schemas.microsoft.com/office/drawing/2014/chart" uri="{C3380CC4-5D6E-409C-BE32-E72D297353CC}">
              <c16:uniqueId val="{00000009-01CB-4052-AC3A-C1CB69D445EE}"/>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Maintenance'!$L$61:$L$80</c:f>
              <c:numCache>
                <c:formatCode>0%</c:formatCode>
                <c:ptCount val="20"/>
                <c:pt idx="0">
                  <c:v>0.99992825369493477</c:v>
                </c:pt>
                <c:pt idx="1">
                  <c:v>0.99989758925096783</c:v>
                </c:pt>
                <c:pt idx="2">
                  <c:v>0.99971900324832241</c:v>
                </c:pt>
                <c:pt idx="3">
                  <c:v>0.99749460043196547</c:v>
                </c:pt>
                <c:pt idx="4">
                  <c:v>0.97404567375589757</c:v>
                </c:pt>
                <c:pt idx="5">
                  <c:v>0.91553502169751755</c:v>
                </c:pt>
                <c:pt idx="6">
                  <c:v>0.86207381041588615</c:v>
                </c:pt>
                <c:pt idx="7">
                  <c:v>0.80751478128812637</c:v>
                </c:pt>
                <c:pt idx="8">
                  <c:v>0.74419037325135329</c:v>
                </c:pt>
                <c:pt idx="9">
                  <c:v>0.68522111848011813</c:v>
                </c:pt>
                <c:pt idx="10">
                  <c:v>0.62159495862610481</c:v>
                </c:pt>
                <c:pt idx="11">
                  <c:v>0.55979143148954469</c:v>
                </c:pt>
                <c:pt idx="12">
                  <c:v>0.50712104712489059</c:v>
                </c:pt>
                <c:pt idx="13">
                  <c:v>0.42702426617745165</c:v>
                </c:pt>
                <c:pt idx="14">
                  <c:v>0.36362162107375612</c:v>
                </c:pt>
                <c:pt idx="15">
                  <c:v>0.3088011237776217</c:v>
                </c:pt>
                <c:pt idx="16">
                  <c:v>0.27678363330312056</c:v>
                </c:pt>
                <c:pt idx="17">
                  <c:v>0.24768985661178969</c:v>
                </c:pt>
                <c:pt idx="18">
                  <c:v>0.20508509827030399</c:v>
                </c:pt>
                <c:pt idx="19">
                  <c:v>0.15263933735785484</c:v>
                </c:pt>
              </c:numCache>
            </c:numRef>
          </c:val>
          <c:smooth val="0"/>
          <c:extLst>
            <c:ext xmlns:c16="http://schemas.microsoft.com/office/drawing/2014/chart" uri="{C3380CC4-5D6E-409C-BE32-E72D297353CC}">
              <c16:uniqueId val="{0000000A-01CB-4052-AC3A-C1CB69D445EE}"/>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Maintenance'!$M$61:$M$80</c:f>
              <c:numCache>
                <c:formatCode>0%</c:formatCode>
                <c:ptCount val="20"/>
                <c:pt idx="0">
                  <c:v>1</c:v>
                </c:pt>
                <c:pt idx="1">
                  <c:v>0.99988380649908981</c:v>
                </c:pt>
                <c:pt idx="2">
                  <c:v>0.99968520461699895</c:v>
                </c:pt>
                <c:pt idx="3">
                  <c:v>0.99743144671756956</c:v>
                </c:pt>
                <c:pt idx="4">
                  <c:v>0.97470416993710818</c:v>
                </c:pt>
                <c:pt idx="5">
                  <c:v>0.91837032001165442</c:v>
                </c:pt>
                <c:pt idx="6">
                  <c:v>0.86898292638149444</c:v>
                </c:pt>
                <c:pt idx="7">
                  <c:v>0.81988930456618669</c:v>
                </c:pt>
                <c:pt idx="8">
                  <c:v>0.74858563563944491</c:v>
                </c:pt>
                <c:pt idx="9">
                  <c:v>0.68153594047566324</c:v>
                </c:pt>
                <c:pt idx="10">
                  <c:v>0.62086342047341392</c:v>
                </c:pt>
                <c:pt idx="11">
                  <c:v>0.56134611125651812</c:v>
                </c:pt>
                <c:pt idx="12">
                  <c:v>0.50184378863624146</c:v>
                </c:pt>
                <c:pt idx="13">
                  <c:v>0.4521384493839814</c:v>
                </c:pt>
                <c:pt idx="14">
                  <c:v>0.38000333555703802</c:v>
                </c:pt>
                <c:pt idx="15">
                  <c:v>0.32237008807759748</c:v>
                </c:pt>
                <c:pt idx="16">
                  <c:v>0.26980387919390569</c:v>
                </c:pt>
                <c:pt idx="17">
                  <c:v>0.23819759160947818</c:v>
                </c:pt>
                <c:pt idx="18">
                  <c:v>0.19256505576208177</c:v>
                </c:pt>
                <c:pt idx="19">
                  <c:v>0.1421193108946584</c:v>
                </c:pt>
              </c:numCache>
            </c:numRef>
          </c:val>
          <c:smooth val="0"/>
          <c:extLst>
            <c:ext xmlns:c16="http://schemas.microsoft.com/office/drawing/2014/chart" uri="{C3380CC4-5D6E-409C-BE32-E72D297353CC}">
              <c16:uniqueId val="{0000000B-01CB-4052-AC3A-C1CB69D445EE}"/>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Maintenance'!$N$61:$N$80</c:f>
              <c:numCache>
                <c:formatCode>0%</c:formatCode>
                <c:ptCount val="20"/>
                <c:pt idx="0">
                  <c:v>1</c:v>
                </c:pt>
                <c:pt idx="1">
                  <c:v>0.9998909725250763</c:v>
                </c:pt>
                <c:pt idx="2">
                  <c:v>0.99967360438675701</c:v>
                </c:pt>
                <c:pt idx="3">
                  <c:v>0.99751918252914273</c:v>
                </c:pt>
                <c:pt idx="4">
                  <c:v>0.97676043219076003</c:v>
                </c:pt>
                <c:pt idx="5">
                  <c:v>0.93280896342996888</c:v>
                </c:pt>
                <c:pt idx="6">
                  <c:v>0.87660804801727454</c:v>
                </c:pt>
                <c:pt idx="7">
                  <c:v>0.83540049273178285</c:v>
                </c:pt>
                <c:pt idx="8">
                  <c:v>0.77355327112300376</c:v>
                </c:pt>
                <c:pt idx="9">
                  <c:v>0.7009352116487122</c:v>
                </c:pt>
                <c:pt idx="10">
                  <c:v>0.63004889455782309</c:v>
                </c:pt>
                <c:pt idx="11">
                  <c:v>0.5718809128470479</c:v>
                </c:pt>
                <c:pt idx="12">
                  <c:v>0.51655962471561734</c:v>
                </c:pt>
                <c:pt idx="13">
                  <c:v>0.46051712089447938</c:v>
                </c:pt>
                <c:pt idx="14">
                  <c:v>0.41469690175730789</c:v>
                </c:pt>
                <c:pt idx="15">
                  <c:v>0.34723148765843898</c:v>
                </c:pt>
                <c:pt idx="16">
                  <c:v>0.29532854261475933</c:v>
                </c:pt>
                <c:pt idx="17">
                  <c:v>0.24428116051650547</c:v>
                </c:pt>
                <c:pt idx="18">
                  <c:v>0.2008416418490224</c:v>
                </c:pt>
                <c:pt idx="19">
                  <c:v>0.14695394886579166</c:v>
                </c:pt>
              </c:numCache>
            </c:numRef>
          </c:val>
          <c:smooth val="0"/>
          <c:extLst>
            <c:ext xmlns:c16="http://schemas.microsoft.com/office/drawing/2014/chart" uri="{C3380CC4-5D6E-409C-BE32-E72D297353CC}">
              <c16:uniqueId val="{00000001-97BD-49B3-BF3E-FC378E3DD992}"/>
            </c:ext>
          </c:extLst>
        </c:ser>
        <c:dLbls>
          <c:showLegendKey val="0"/>
          <c:showVal val="0"/>
          <c:showCatName val="0"/>
          <c:showSerName val="0"/>
          <c:showPercent val="0"/>
          <c:showBubbleSize val="0"/>
        </c:dLbls>
        <c:smooth val="0"/>
        <c:axId val="621911288"/>
        <c:axId val="621912464"/>
      </c:lineChart>
      <c:catAx>
        <c:axId val="62191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2464"/>
        <c:crosses val="autoZero"/>
        <c:auto val="1"/>
        <c:lblAlgn val="ctr"/>
        <c:lblOffset val="100"/>
        <c:noMultiLvlLbl val="0"/>
      </c:catAx>
      <c:valAx>
        <c:axId val="62191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1288"/>
        <c:crosses val="autoZero"/>
        <c:crossBetween val="between"/>
        <c:majorUnit val="0.25"/>
        <c:minorUnit val="0.05"/>
      </c:valAx>
      <c:spPr>
        <a:noFill/>
        <a:ln>
          <a:noFill/>
        </a:ln>
        <a:effectLst/>
      </c:spPr>
    </c:plotArea>
    <c:legend>
      <c:legendPos val="b"/>
      <c:layout>
        <c:manualLayout>
          <c:xMode val="edge"/>
          <c:yMode val="edge"/>
          <c:x val="9.0502719073559543E-2"/>
          <c:y val="0.90446416809503016"/>
          <c:w val="0.8217867698678557"/>
          <c:h val="9.5535831904969851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Maintenance'!$B$87:$B$106</c:f>
              <c:numCache>
                <c:formatCode>General</c:formatCode>
                <c:ptCount val="20"/>
              </c:numCache>
            </c:numRef>
          </c:val>
          <c:smooth val="0"/>
          <c:extLst>
            <c:ext xmlns:c16="http://schemas.microsoft.com/office/drawing/2014/chart" uri="{C3380CC4-5D6E-409C-BE32-E72D297353CC}">
              <c16:uniqueId val="{00000000-91DD-46E9-B149-7D34778CA554}"/>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Maintenance'!$C$87:$C$106</c:f>
              <c:numCache>
                <c:formatCode>0%</c:formatCode>
                <c:ptCount val="20"/>
                <c:pt idx="0">
                  <c:v>1</c:v>
                </c:pt>
                <c:pt idx="1">
                  <c:v>0.99959966882998597</c:v>
                </c:pt>
                <c:pt idx="2">
                  <c:v>0.972939621737265</c:v>
                </c:pt>
                <c:pt idx="3">
                  <c:v>0.89365683152945197</c:v>
                </c:pt>
                <c:pt idx="4">
                  <c:v>0.78103319878953603</c:v>
                </c:pt>
                <c:pt idx="5">
                  <c:v>0.65141916682330803</c:v>
                </c:pt>
                <c:pt idx="6">
                  <c:v>0.51414144747698098</c:v>
                </c:pt>
                <c:pt idx="7">
                  <c:v>0.38761670944996801</c:v>
                </c:pt>
                <c:pt idx="8">
                  <c:v>0.285493519370146</c:v>
                </c:pt>
                <c:pt idx="9">
                  <c:v>0.204056976165229</c:v>
                </c:pt>
                <c:pt idx="10">
                  <c:v>0.14693588818276901</c:v>
                </c:pt>
                <c:pt idx="11">
                  <c:v>0.107996148785447</c:v>
                </c:pt>
                <c:pt idx="12">
                  <c:v>8.0267117027275597E-2</c:v>
                </c:pt>
                <c:pt idx="13">
                  <c:v>5.9332236129385901E-2</c:v>
                </c:pt>
                <c:pt idx="14">
                  <c:v>4.2297355661959801E-2</c:v>
                </c:pt>
                <c:pt idx="15">
                  <c:v>2.8129362928185801E-2</c:v>
                </c:pt>
                <c:pt idx="16">
                  <c:v>1.7360597942670902E-2</c:v>
                </c:pt>
                <c:pt idx="17">
                  <c:v>9.4587206908080205E-3</c:v>
                </c:pt>
                <c:pt idx="18">
                  <c:v>3.9631350952687699E-3</c:v>
                </c:pt>
                <c:pt idx="19">
                  <c:v>1.35739529331074E-3</c:v>
                </c:pt>
              </c:numCache>
            </c:numRef>
          </c:val>
          <c:smooth val="0"/>
          <c:extLst>
            <c:ext xmlns:c16="http://schemas.microsoft.com/office/drawing/2014/chart" uri="{C3380CC4-5D6E-409C-BE32-E72D297353CC}">
              <c16:uniqueId val="{00000001-91DD-46E9-B149-7D34778CA554}"/>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Maintenance'!$D$87:$D$106</c:f>
              <c:numCache>
                <c:formatCode>0%</c:formatCode>
                <c:ptCount val="20"/>
                <c:pt idx="0">
                  <c:v>1</c:v>
                </c:pt>
                <c:pt idx="1">
                  <c:v>0.97029992517578001</c:v>
                </c:pt>
                <c:pt idx="2">
                  <c:v>0.88451138641854699</c:v>
                </c:pt>
                <c:pt idx="3">
                  <c:v>0.77024052274142196</c:v>
                </c:pt>
                <c:pt idx="4">
                  <c:v>0.63902854172735402</c:v>
                </c:pt>
                <c:pt idx="5">
                  <c:v>0.51141040799191195</c:v>
                </c:pt>
                <c:pt idx="6">
                  <c:v>0.39165966974531202</c:v>
                </c:pt>
                <c:pt idx="7">
                  <c:v>0.29076806205269701</c:v>
                </c:pt>
                <c:pt idx="8">
                  <c:v>0.21179823734699599</c:v>
                </c:pt>
                <c:pt idx="9">
                  <c:v>0.14994659492680401</c:v>
                </c:pt>
                <c:pt idx="10">
                  <c:v>0.10736190361955</c:v>
                </c:pt>
                <c:pt idx="11">
                  <c:v>7.8443199278031894E-2</c:v>
                </c:pt>
                <c:pt idx="12">
                  <c:v>5.7926512334572799E-2</c:v>
                </c:pt>
                <c:pt idx="13">
                  <c:v>4.2566413635143401E-2</c:v>
                </c:pt>
                <c:pt idx="14">
                  <c:v>2.99296880801019E-2</c:v>
                </c:pt>
                <c:pt idx="15">
                  <c:v>1.9464578442628101E-2</c:v>
                </c:pt>
                <c:pt idx="16">
                  <c:v>1.16177453349098E-2</c:v>
                </c:pt>
                <c:pt idx="17">
                  <c:v>5.8294350485786298E-3</c:v>
                </c:pt>
                <c:pt idx="18">
                  <c:v>1.8928814178904099E-3</c:v>
                </c:pt>
                <c:pt idx="19">
                  <c:v>8.4534233508684706E-5</c:v>
                </c:pt>
              </c:numCache>
            </c:numRef>
          </c:val>
          <c:smooth val="0"/>
          <c:extLst>
            <c:ext xmlns:c16="http://schemas.microsoft.com/office/drawing/2014/chart" uri="{C3380CC4-5D6E-409C-BE32-E72D297353CC}">
              <c16:uniqueId val="{00000002-91DD-46E9-B149-7D34778CA554}"/>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Maintenance'!$E$87:$E$106</c:f>
              <c:numCache>
                <c:formatCode>0%</c:formatCode>
                <c:ptCount val="20"/>
                <c:pt idx="0">
                  <c:v>1</c:v>
                </c:pt>
                <c:pt idx="1">
                  <c:v>1</c:v>
                </c:pt>
                <c:pt idx="2">
                  <c:v>0.99995490213763905</c:v>
                </c:pt>
                <c:pt idx="3">
                  <c:v>0.97996433531660998</c:v>
                </c:pt>
                <c:pt idx="4">
                  <c:v>0.95932914353600296</c:v>
                </c:pt>
                <c:pt idx="5">
                  <c:v>0.93964604767348303</c:v>
                </c:pt>
                <c:pt idx="6">
                  <c:v>0.90102309899236699</c:v>
                </c:pt>
                <c:pt idx="7">
                  <c:v>0.84779244424214795</c:v>
                </c:pt>
                <c:pt idx="8">
                  <c:v>0.79084529327451103</c:v>
                </c:pt>
                <c:pt idx="9">
                  <c:v>0.73668513471247898</c:v>
                </c:pt>
                <c:pt idx="10">
                  <c:v>0.67142743686133299</c:v>
                </c:pt>
                <c:pt idx="11">
                  <c:v>0.61735714159307697</c:v>
                </c:pt>
                <c:pt idx="12">
                  <c:v>0.56861427714457102</c:v>
                </c:pt>
                <c:pt idx="13">
                  <c:v>0.51345928258319395</c:v>
                </c:pt>
                <c:pt idx="14">
                  <c:v>0.48307573415765098</c:v>
                </c:pt>
                <c:pt idx="15">
                  <c:v>0.44323905462998803</c:v>
                </c:pt>
                <c:pt idx="16">
                  <c:v>0.40590994825168097</c:v>
                </c:pt>
                <c:pt idx="17">
                  <c:v>0.35958727429062798</c:v>
                </c:pt>
                <c:pt idx="18">
                  <c:v>0.32460435739124299</c:v>
                </c:pt>
                <c:pt idx="19">
                  <c:v>0.26851607221488299</c:v>
                </c:pt>
              </c:numCache>
            </c:numRef>
          </c:val>
          <c:smooth val="0"/>
          <c:extLst>
            <c:ext xmlns:c16="http://schemas.microsoft.com/office/drawing/2014/chart" uri="{C3380CC4-5D6E-409C-BE32-E72D297353CC}">
              <c16:uniqueId val="{00000003-91DD-46E9-B149-7D34778CA554}"/>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Maintenance'!$F$87:$F$106</c:f>
              <c:numCache>
                <c:formatCode>0%</c:formatCode>
                <c:ptCount val="20"/>
                <c:pt idx="0">
                  <c:v>0.99988728584310205</c:v>
                </c:pt>
                <c:pt idx="1">
                  <c:v>0.99979850896635103</c:v>
                </c:pt>
                <c:pt idx="2">
                  <c:v>0.99967251108424005</c:v>
                </c:pt>
                <c:pt idx="3">
                  <c:v>0.99628088196227704</c:v>
                </c:pt>
                <c:pt idx="4">
                  <c:v>0.97499076797697704</c:v>
                </c:pt>
                <c:pt idx="5">
                  <c:v>0.93558660624370604</c:v>
                </c:pt>
                <c:pt idx="6">
                  <c:v>0.86574260617293897</c:v>
                </c:pt>
                <c:pt idx="7">
                  <c:v>0.78286440446558903</c:v>
                </c:pt>
                <c:pt idx="8">
                  <c:v>0.71619648325795504</c:v>
                </c:pt>
                <c:pt idx="9">
                  <c:v>0.66517895737874999</c:v>
                </c:pt>
                <c:pt idx="10">
                  <c:v>0.60715303136249499</c:v>
                </c:pt>
                <c:pt idx="11">
                  <c:v>0.55464008254430697</c:v>
                </c:pt>
                <c:pt idx="12">
                  <c:v>0.50846664471289704</c:v>
                </c:pt>
                <c:pt idx="13">
                  <c:v>0.45172782955123802</c:v>
                </c:pt>
                <c:pt idx="14">
                  <c:v>0.38150166164309501</c:v>
                </c:pt>
                <c:pt idx="15">
                  <c:v>0.32816548816373098</c:v>
                </c:pt>
                <c:pt idx="16">
                  <c:v>0.29528740081285099</c:v>
                </c:pt>
                <c:pt idx="17">
                  <c:v>0.20880469692940301</c:v>
                </c:pt>
                <c:pt idx="18">
                  <c:v>0.154028999286903</c:v>
                </c:pt>
                <c:pt idx="19">
                  <c:v>0.115042669723602</c:v>
                </c:pt>
              </c:numCache>
            </c:numRef>
          </c:val>
          <c:smooth val="0"/>
          <c:extLst>
            <c:ext xmlns:c16="http://schemas.microsoft.com/office/drawing/2014/chart" uri="{C3380CC4-5D6E-409C-BE32-E72D297353CC}">
              <c16:uniqueId val="{00000004-91DD-46E9-B149-7D34778CA554}"/>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Maintenance'!$G$87:$G$106</c:f>
              <c:numCache>
                <c:formatCode>0%</c:formatCode>
                <c:ptCount val="20"/>
                <c:pt idx="0">
                  <c:v>1</c:v>
                </c:pt>
                <c:pt idx="1">
                  <c:v>1</c:v>
                </c:pt>
                <c:pt idx="2">
                  <c:v>0.99982843040213298</c:v>
                </c:pt>
                <c:pt idx="3">
                  <c:v>0.98242888321680899</c:v>
                </c:pt>
                <c:pt idx="4">
                  <c:v>0.95033891969977102</c:v>
                </c:pt>
                <c:pt idx="5">
                  <c:v>0.90841837278169502</c:v>
                </c:pt>
                <c:pt idx="6">
                  <c:v>0.86814376695502304</c:v>
                </c:pt>
                <c:pt idx="7">
                  <c:v>0.82251416127652399</c:v>
                </c:pt>
                <c:pt idx="8">
                  <c:v>0.78389012620638499</c:v>
                </c:pt>
                <c:pt idx="9">
                  <c:v>0.73926385322286303</c:v>
                </c:pt>
                <c:pt idx="10">
                  <c:v>0.67489983588671598</c:v>
                </c:pt>
                <c:pt idx="11">
                  <c:v>0.61918675432188897</c:v>
                </c:pt>
                <c:pt idx="12">
                  <c:v>0.56929766767690104</c:v>
                </c:pt>
                <c:pt idx="13">
                  <c:v>0.51999929393490096</c:v>
                </c:pt>
                <c:pt idx="14">
                  <c:v>0.46889745862176302</c:v>
                </c:pt>
                <c:pt idx="15">
                  <c:v>0.42105587763661001</c:v>
                </c:pt>
                <c:pt idx="16">
                  <c:v>0.38730109686389602</c:v>
                </c:pt>
                <c:pt idx="17">
                  <c:v>0.34899935442220797</c:v>
                </c:pt>
                <c:pt idx="18">
                  <c:v>0.31752018956429201</c:v>
                </c:pt>
                <c:pt idx="19">
                  <c:v>0.27060777911439499</c:v>
                </c:pt>
              </c:numCache>
            </c:numRef>
          </c:val>
          <c:smooth val="0"/>
          <c:extLst>
            <c:ext xmlns:c16="http://schemas.microsoft.com/office/drawing/2014/chart" uri="{C3380CC4-5D6E-409C-BE32-E72D297353CC}">
              <c16:uniqueId val="{00000005-91DD-46E9-B149-7D34778CA554}"/>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Maintenance'!$H$87:$H$106</c:f>
              <c:numCache>
                <c:formatCode>0%</c:formatCode>
                <c:ptCount val="20"/>
                <c:pt idx="0">
                  <c:v>1</c:v>
                </c:pt>
                <c:pt idx="1">
                  <c:v>1</c:v>
                </c:pt>
                <c:pt idx="2">
                  <c:v>0.99970679207533697</c:v>
                </c:pt>
                <c:pt idx="3">
                  <c:v>0.98326113778139901</c:v>
                </c:pt>
                <c:pt idx="4">
                  <c:v>0.95143926442729798</c:v>
                </c:pt>
                <c:pt idx="5">
                  <c:v>0.91231288617109396</c:v>
                </c:pt>
                <c:pt idx="6">
                  <c:v>0.85281276659808303</c:v>
                </c:pt>
                <c:pt idx="7">
                  <c:v>0.801485709728322</c:v>
                </c:pt>
                <c:pt idx="8">
                  <c:v>0.76559623644917196</c:v>
                </c:pt>
                <c:pt idx="9">
                  <c:v>0.72925141045539099</c:v>
                </c:pt>
                <c:pt idx="10">
                  <c:v>0.67049055392884405</c:v>
                </c:pt>
                <c:pt idx="11">
                  <c:v>0.61534949550289897</c:v>
                </c:pt>
                <c:pt idx="12">
                  <c:v>0.56707868888643598</c:v>
                </c:pt>
                <c:pt idx="13">
                  <c:v>0.51541467650890105</c:v>
                </c:pt>
                <c:pt idx="14">
                  <c:v>0.47108006561888099</c:v>
                </c:pt>
                <c:pt idx="15">
                  <c:v>0.42195092758827102</c:v>
                </c:pt>
                <c:pt idx="16">
                  <c:v>0.37600961834884999</c:v>
                </c:pt>
                <c:pt idx="17">
                  <c:v>0.34308880308880302</c:v>
                </c:pt>
                <c:pt idx="18">
                  <c:v>0.30253872633390699</c:v>
                </c:pt>
                <c:pt idx="19">
                  <c:v>0.26862640816129202</c:v>
                </c:pt>
              </c:numCache>
            </c:numRef>
          </c:val>
          <c:smooth val="0"/>
          <c:extLst>
            <c:ext xmlns:c16="http://schemas.microsoft.com/office/drawing/2014/chart" uri="{C3380CC4-5D6E-409C-BE32-E72D297353CC}">
              <c16:uniqueId val="{00000006-91DD-46E9-B149-7D34778CA554}"/>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Maintenance'!$I$87:$I$106</c:f>
              <c:numCache>
                <c:formatCode>0%</c:formatCode>
                <c:ptCount val="20"/>
                <c:pt idx="0">
                  <c:v>1</c:v>
                </c:pt>
                <c:pt idx="1">
                  <c:v>1</c:v>
                </c:pt>
                <c:pt idx="2">
                  <c:v>0.999391623739183</c:v>
                </c:pt>
                <c:pt idx="3">
                  <c:v>0.98397839284661803</c:v>
                </c:pt>
                <c:pt idx="4">
                  <c:v>0.94586270680391304</c:v>
                </c:pt>
                <c:pt idx="5">
                  <c:v>0.92022864011035899</c:v>
                </c:pt>
                <c:pt idx="6">
                  <c:v>0.87246096055153799</c:v>
                </c:pt>
                <c:pt idx="7">
                  <c:v>0.80421752397558899</c:v>
                </c:pt>
                <c:pt idx="8">
                  <c:v>0.75521488661818104</c:v>
                </c:pt>
                <c:pt idx="9">
                  <c:v>0.71802054154995298</c:v>
                </c:pt>
                <c:pt idx="10">
                  <c:v>0.66281719657944305</c:v>
                </c:pt>
                <c:pt idx="11">
                  <c:v>0.61702400102438504</c:v>
                </c:pt>
                <c:pt idx="12">
                  <c:v>0.56715968777356296</c:v>
                </c:pt>
                <c:pt idx="13">
                  <c:v>0.51531517629812496</c:v>
                </c:pt>
                <c:pt idx="14">
                  <c:v>0.46692965154503602</c:v>
                </c:pt>
                <c:pt idx="15">
                  <c:v>0.42366486238693901</c:v>
                </c:pt>
                <c:pt idx="16">
                  <c:v>0.37406973126899401</c:v>
                </c:pt>
                <c:pt idx="17">
                  <c:v>0.33092882024723302</c:v>
                </c:pt>
                <c:pt idx="18">
                  <c:v>0.30112342199745201</c:v>
                </c:pt>
                <c:pt idx="19">
                  <c:v>0.25834767641996598</c:v>
                </c:pt>
              </c:numCache>
            </c:numRef>
          </c:val>
          <c:smooth val="0"/>
          <c:extLst>
            <c:ext xmlns:c16="http://schemas.microsoft.com/office/drawing/2014/chart" uri="{C3380CC4-5D6E-409C-BE32-E72D297353CC}">
              <c16:uniqueId val="{00000007-91DD-46E9-B149-7D34778CA554}"/>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Maintenance'!$J$87:$J$106</c:f>
              <c:numCache>
                <c:formatCode>0%</c:formatCode>
                <c:ptCount val="20"/>
                <c:pt idx="0">
                  <c:v>1</c:v>
                </c:pt>
                <c:pt idx="1">
                  <c:v>1</c:v>
                </c:pt>
                <c:pt idx="2">
                  <c:v>0.999391623739183</c:v>
                </c:pt>
                <c:pt idx="3">
                  <c:v>0.98397839284661803</c:v>
                </c:pt>
                <c:pt idx="4">
                  <c:v>0.94586270680391304</c:v>
                </c:pt>
                <c:pt idx="5">
                  <c:v>0.92022864011035899</c:v>
                </c:pt>
                <c:pt idx="6">
                  <c:v>0.87246096055153799</c:v>
                </c:pt>
                <c:pt idx="7">
                  <c:v>0.80421752397558899</c:v>
                </c:pt>
                <c:pt idx="8">
                  <c:v>0.75521488661818104</c:v>
                </c:pt>
                <c:pt idx="9">
                  <c:v>0.71802054154995298</c:v>
                </c:pt>
                <c:pt idx="10">
                  <c:v>0.66281719657944305</c:v>
                </c:pt>
                <c:pt idx="11">
                  <c:v>0.61702400102438504</c:v>
                </c:pt>
                <c:pt idx="12">
                  <c:v>0.56715968777356296</c:v>
                </c:pt>
                <c:pt idx="13">
                  <c:v>0.51531517629812496</c:v>
                </c:pt>
                <c:pt idx="14">
                  <c:v>0.46692965154503602</c:v>
                </c:pt>
                <c:pt idx="15">
                  <c:v>0.42366486238693901</c:v>
                </c:pt>
                <c:pt idx="16">
                  <c:v>0.37406973126899401</c:v>
                </c:pt>
                <c:pt idx="17">
                  <c:v>0.33092882024723302</c:v>
                </c:pt>
                <c:pt idx="18">
                  <c:v>0.30112342199745201</c:v>
                </c:pt>
                <c:pt idx="19">
                  <c:v>0.25834767641996598</c:v>
                </c:pt>
              </c:numCache>
            </c:numRef>
          </c:val>
          <c:smooth val="0"/>
          <c:extLst>
            <c:ext xmlns:c16="http://schemas.microsoft.com/office/drawing/2014/chart" uri="{C3380CC4-5D6E-409C-BE32-E72D297353CC}">
              <c16:uniqueId val="{00000008-91DD-46E9-B149-7D34778CA554}"/>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Maintenance'!$K$87:$K$106</c:f>
              <c:numCache>
                <c:formatCode>0%</c:formatCode>
                <c:ptCount val="20"/>
                <c:pt idx="0">
                  <c:v>1</c:v>
                </c:pt>
                <c:pt idx="1">
                  <c:v>0.99992277395937901</c:v>
                </c:pt>
                <c:pt idx="2">
                  <c:v>0.998176887343316</c:v>
                </c:pt>
                <c:pt idx="3">
                  <c:v>0.98532067912383803</c:v>
                </c:pt>
                <c:pt idx="4">
                  <c:v>0.95448172298815603</c:v>
                </c:pt>
                <c:pt idx="5">
                  <c:v>0.91542951822584795</c:v>
                </c:pt>
                <c:pt idx="6">
                  <c:v>0.87132594999384405</c:v>
                </c:pt>
                <c:pt idx="7">
                  <c:v>0.83544555099915396</c:v>
                </c:pt>
                <c:pt idx="8">
                  <c:v>0.78241954375592604</c:v>
                </c:pt>
                <c:pt idx="9">
                  <c:v>0.710009290499242</c:v>
                </c:pt>
                <c:pt idx="10">
                  <c:v>0.64795918367346905</c:v>
                </c:pt>
                <c:pt idx="11">
                  <c:v>0.60125755194030395</c:v>
                </c:pt>
                <c:pt idx="12">
                  <c:v>0.55802072690118198</c:v>
                </c:pt>
                <c:pt idx="13">
                  <c:v>0.51511308897183095</c:v>
                </c:pt>
                <c:pt idx="14">
                  <c:v>0.46609498320452197</c:v>
                </c:pt>
                <c:pt idx="15">
                  <c:v>0.41768500781645601</c:v>
                </c:pt>
                <c:pt idx="16">
                  <c:v>0.36777787997845002</c:v>
                </c:pt>
                <c:pt idx="17">
                  <c:v>0.335048548821964</c:v>
                </c:pt>
                <c:pt idx="18">
                  <c:v>0.28475046652949898</c:v>
                </c:pt>
                <c:pt idx="19">
                  <c:v>0.24607797811681301</c:v>
                </c:pt>
              </c:numCache>
            </c:numRef>
          </c:val>
          <c:smooth val="0"/>
          <c:extLst>
            <c:ext xmlns:c16="http://schemas.microsoft.com/office/drawing/2014/chart" uri="{C3380CC4-5D6E-409C-BE32-E72D297353CC}">
              <c16:uniqueId val="{00000009-91DD-46E9-B149-7D34778CA554}"/>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Maintenance'!$L$87:$L$106</c:f>
              <c:numCache>
                <c:formatCode>0%</c:formatCode>
                <c:ptCount val="20"/>
                <c:pt idx="0">
                  <c:v>1</c:v>
                </c:pt>
                <c:pt idx="1">
                  <c:v>1.00002347610719</c:v>
                </c:pt>
                <c:pt idx="2">
                  <c:v>0.99888147086581103</c:v>
                </c:pt>
                <c:pt idx="3">
                  <c:v>0.98917544545908298</c:v>
                </c:pt>
                <c:pt idx="4">
                  <c:v>0.96034504233655804</c:v>
                </c:pt>
                <c:pt idx="5">
                  <c:v>0.92942128040153404</c:v>
                </c:pt>
                <c:pt idx="6">
                  <c:v>0.88106750999427497</c:v>
                </c:pt>
                <c:pt idx="7">
                  <c:v>0.829046292611752</c:v>
                </c:pt>
                <c:pt idx="8">
                  <c:v>0.79819927077907604</c:v>
                </c:pt>
                <c:pt idx="9">
                  <c:v>0.74259099767023695</c:v>
                </c:pt>
                <c:pt idx="10">
                  <c:v>0.66017114210261696</c:v>
                </c:pt>
                <c:pt idx="11">
                  <c:v>0.595294498888156</c:v>
                </c:pt>
                <c:pt idx="12">
                  <c:v>0.54273242794875498</c:v>
                </c:pt>
                <c:pt idx="13">
                  <c:v>0.499128443377993</c:v>
                </c:pt>
                <c:pt idx="14">
                  <c:v>0.461887339885379</c:v>
                </c:pt>
                <c:pt idx="15">
                  <c:v>0.42110053333818698</c:v>
                </c:pt>
                <c:pt idx="16">
                  <c:v>0.38484314804622999</c:v>
                </c:pt>
                <c:pt idx="17">
                  <c:v>0.34402922316829598</c:v>
                </c:pt>
                <c:pt idx="18">
                  <c:v>0.31933039647577099</c:v>
                </c:pt>
                <c:pt idx="19">
                  <c:v>0.26590909090909098</c:v>
                </c:pt>
              </c:numCache>
            </c:numRef>
          </c:val>
          <c:smooth val="0"/>
          <c:extLst>
            <c:ext xmlns:c16="http://schemas.microsoft.com/office/drawing/2014/chart" uri="{C3380CC4-5D6E-409C-BE32-E72D297353CC}">
              <c16:uniqueId val="{0000000A-91DD-46E9-B149-7D34778CA554}"/>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Maintenance'!$M$87:$M$106</c:f>
              <c:numCache>
                <c:formatCode>0%</c:formatCode>
                <c:ptCount val="20"/>
                <c:pt idx="0">
                  <c:v>0.99980803685692299</c:v>
                </c:pt>
                <c:pt idx="1">
                  <c:v>0.99975569037827305</c:v>
                </c:pt>
                <c:pt idx="2">
                  <c:v>0.99872821986707405</c:v>
                </c:pt>
                <c:pt idx="3">
                  <c:v>0.99126951849909595</c:v>
                </c:pt>
                <c:pt idx="4">
                  <c:v>0.97228638594929495</c:v>
                </c:pt>
                <c:pt idx="5">
                  <c:v>0.93775950911628603</c:v>
                </c:pt>
                <c:pt idx="6">
                  <c:v>0.89882428519468505</c:v>
                </c:pt>
                <c:pt idx="7">
                  <c:v>0.842306107634052</c:v>
                </c:pt>
                <c:pt idx="8">
                  <c:v>0.79251905176278203</c:v>
                </c:pt>
                <c:pt idx="9">
                  <c:v>0.75943665239287395</c:v>
                </c:pt>
                <c:pt idx="10">
                  <c:v>0.69310310686917098</c:v>
                </c:pt>
                <c:pt idx="11">
                  <c:v>0.61573344906109395</c:v>
                </c:pt>
                <c:pt idx="12">
                  <c:v>0.55082351627491499</c:v>
                </c:pt>
                <c:pt idx="13">
                  <c:v>0.49477413417048</c:v>
                </c:pt>
                <c:pt idx="14">
                  <c:v>0.45196920429856702</c:v>
                </c:pt>
                <c:pt idx="15">
                  <c:v>0.48758997501212098</c:v>
                </c:pt>
                <c:pt idx="16">
                  <c:v>0.33014839927079698</c:v>
                </c:pt>
                <c:pt idx="17">
                  <c:v>0.35315248502265401</c:v>
                </c:pt>
                <c:pt idx="18">
                  <c:v>0.32797314531142402</c:v>
                </c:pt>
                <c:pt idx="19">
                  <c:v>0.31869776724460502</c:v>
                </c:pt>
              </c:numCache>
            </c:numRef>
          </c:val>
          <c:smooth val="0"/>
          <c:extLst>
            <c:ext xmlns:c16="http://schemas.microsoft.com/office/drawing/2014/chart" uri="{C3380CC4-5D6E-409C-BE32-E72D297353CC}">
              <c16:uniqueId val="{0000000B-91DD-46E9-B149-7D34778CA554}"/>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Maintenance'!$N$87:$N$106</c:f>
              <c:numCache>
                <c:formatCode>0%</c:formatCode>
                <c:ptCount val="20"/>
                <c:pt idx="0">
                  <c:v>0.99985964173552999</c:v>
                </c:pt>
                <c:pt idx="1">
                  <c:v>0.99957269953117878</c:v>
                </c:pt>
                <c:pt idx="2">
                  <c:v>0.99694045847458079</c:v>
                </c:pt>
                <c:pt idx="3">
                  <c:v>0.98525580490397524</c:v>
                </c:pt>
                <c:pt idx="4">
                  <c:v>0.96794757895010552</c:v>
                </c:pt>
                <c:pt idx="5">
                  <c:v>0.94748834871921961</c:v>
                </c:pt>
                <c:pt idx="6">
                  <c:v>0.90572156786370528</c:v>
                </c:pt>
                <c:pt idx="7">
                  <c:v>0.85757829532801233</c:v>
                </c:pt>
                <c:pt idx="8">
                  <c:v>0.80310281741675815</c:v>
                </c:pt>
                <c:pt idx="9">
                  <c:v>0.75277340475020305</c:v>
                </c:pt>
                <c:pt idx="10">
                  <c:v>0.71121694584955963</c:v>
                </c:pt>
                <c:pt idx="11">
                  <c:v>0.64941096421479039</c:v>
                </c:pt>
                <c:pt idx="12">
                  <c:v>0.57093078223916016</c:v>
                </c:pt>
                <c:pt idx="13">
                  <c:v>0.50878917837709559</c:v>
                </c:pt>
                <c:pt idx="14">
                  <c:v>0.46469649903450594</c:v>
                </c:pt>
                <c:pt idx="15">
                  <c:v>0.42096827100852868</c:v>
                </c:pt>
                <c:pt idx="16">
                  <c:v>0.38355003056857551</c:v>
                </c:pt>
                <c:pt idx="17">
                  <c:v>0.33822785275960732</c:v>
                </c:pt>
                <c:pt idx="18">
                  <c:v>0.29585987261146496</c:v>
                </c:pt>
                <c:pt idx="19">
                  <c:v>0.24871115886965756</c:v>
                </c:pt>
              </c:numCache>
            </c:numRef>
          </c:val>
          <c:smooth val="0"/>
          <c:extLst>
            <c:ext xmlns:c16="http://schemas.microsoft.com/office/drawing/2014/chart" uri="{C3380CC4-5D6E-409C-BE32-E72D297353CC}">
              <c16:uniqueId val="{00000001-6BB5-4032-B961-AE4542FC0BB7}"/>
            </c:ext>
          </c:extLst>
        </c:ser>
        <c:dLbls>
          <c:showLegendKey val="0"/>
          <c:showVal val="0"/>
          <c:showCatName val="0"/>
          <c:showSerName val="0"/>
          <c:showPercent val="0"/>
          <c:showBubbleSize val="0"/>
        </c:dLbls>
        <c:smooth val="0"/>
        <c:axId val="621911288"/>
        <c:axId val="621912464"/>
      </c:lineChart>
      <c:catAx>
        <c:axId val="62191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2464"/>
        <c:crosses val="autoZero"/>
        <c:auto val="1"/>
        <c:lblAlgn val="ctr"/>
        <c:lblOffset val="100"/>
        <c:noMultiLvlLbl val="0"/>
      </c:catAx>
      <c:valAx>
        <c:axId val="62191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1288"/>
        <c:crosses val="autoZero"/>
        <c:crossBetween val="between"/>
        <c:majorUnit val="0.25"/>
        <c:minorUnit val="0.05"/>
      </c:valAx>
      <c:spPr>
        <a:noFill/>
        <a:ln>
          <a:noFill/>
        </a:ln>
        <a:effectLst/>
      </c:spPr>
    </c:plotArea>
    <c:legend>
      <c:legendPos val="b"/>
      <c:layout>
        <c:manualLayout>
          <c:xMode val="edge"/>
          <c:yMode val="edge"/>
          <c:x val="9.1079218181755808E-2"/>
          <c:y val="0.90446427474743019"/>
          <c:w val="0.8217867698678557"/>
          <c:h val="9.5535725252569814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Maintenance'!$B$113:$B$132</c:f>
              <c:numCache>
                <c:formatCode>0%</c:formatCode>
                <c:ptCount val="20"/>
                <c:pt idx="0">
                  <c:v>1</c:v>
                </c:pt>
                <c:pt idx="1">
                  <c:v>1</c:v>
                </c:pt>
                <c:pt idx="2">
                  <c:v>1</c:v>
                </c:pt>
                <c:pt idx="3">
                  <c:v>1</c:v>
                </c:pt>
                <c:pt idx="4">
                  <c:v>0.99900582842571795</c:v>
                </c:pt>
                <c:pt idx="5">
                  <c:v>0.98272619189904997</c:v>
                </c:pt>
                <c:pt idx="6">
                  <c:v>0.94738104347130903</c:v>
                </c:pt>
                <c:pt idx="7">
                  <c:v>0.91089717763311395</c:v>
                </c:pt>
                <c:pt idx="8">
                  <c:v>0.89018528820660903</c:v>
                </c:pt>
                <c:pt idx="9">
                  <c:v>0.84088925868052</c:v>
                </c:pt>
                <c:pt idx="10">
                  <c:v>0.75745922362203</c:v>
                </c:pt>
                <c:pt idx="11">
                  <c:v>0.70988842741497804</c:v>
                </c:pt>
                <c:pt idx="12">
                  <c:v>0.69015324995596306</c:v>
                </c:pt>
                <c:pt idx="13">
                  <c:v>0.64014049656604199</c:v>
                </c:pt>
                <c:pt idx="14">
                  <c:v>0.53234792016467303</c:v>
                </c:pt>
                <c:pt idx="15">
                  <c:v>0.51211520400709598</c:v>
                </c:pt>
                <c:pt idx="16">
                  <c:v>0.48728820429671699</c:v>
                </c:pt>
                <c:pt idx="17">
                  <c:v>0.47011316017795501</c:v>
                </c:pt>
                <c:pt idx="18">
                  <c:v>0.45118114024536898</c:v>
                </c:pt>
                <c:pt idx="19">
                  <c:v>0.44053579621391997</c:v>
                </c:pt>
              </c:numCache>
            </c:numRef>
          </c:val>
          <c:smooth val="0"/>
          <c:extLst>
            <c:ext xmlns:c16="http://schemas.microsoft.com/office/drawing/2014/chart" uri="{C3380CC4-5D6E-409C-BE32-E72D297353CC}">
              <c16:uniqueId val="{00000000-E074-45C7-B3A4-58F21F43632D}"/>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Maintenance'!$C$113:$C$132</c:f>
              <c:numCache>
                <c:formatCode>0%</c:formatCode>
                <c:ptCount val="20"/>
                <c:pt idx="0">
                  <c:v>1</c:v>
                </c:pt>
                <c:pt idx="1">
                  <c:v>1</c:v>
                </c:pt>
                <c:pt idx="2">
                  <c:v>1</c:v>
                </c:pt>
                <c:pt idx="3">
                  <c:v>1</c:v>
                </c:pt>
                <c:pt idx="4">
                  <c:v>0.99900582842571795</c:v>
                </c:pt>
                <c:pt idx="5">
                  <c:v>0.99</c:v>
                </c:pt>
                <c:pt idx="6">
                  <c:v>0.96</c:v>
                </c:pt>
                <c:pt idx="7">
                  <c:v>0.92</c:v>
                </c:pt>
                <c:pt idx="8">
                  <c:v>0.89</c:v>
                </c:pt>
                <c:pt idx="9">
                  <c:v>0.85</c:v>
                </c:pt>
                <c:pt idx="10">
                  <c:v>0.77</c:v>
                </c:pt>
                <c:pt idx="11">
                  <c:v>0.72</c:v>
                </c:pt>
                <c:pt idx="12">
                  <c:v>0.69015324995596306</c:v>
                </c:pt>
                <c:pt idx="13">
                  <c:v>0.65</c:v>
                </c:pt>
                <c:pt idx="14">
                  <c:v>0.55000000000000004</c:v>
                </c:pt>
                <c:pt idx="15">
                  <c:v>0.5</c:v>
                </c:pt>
                <c:pt idx="16">
                  <c:v>0.5</c:v>
                </c:pt>
                <c:pt idx="17">
                  <c:v>0.48</c:v>
                </c:pt>
                <c:pt idx="18">
                  <c:v>0.47</c:v>
                </c:pt>
                <c:pt idx="19">
                  <c:v>0.45</c:v>
                </c:pt>
              </c:numCache>
            </c:numRef>
          </c:val>
          <c:smooth val="0"/>
          <c:extLst>
            <c:ext xmlns:c16="http://schemas.microsoft.com/office/drawing/2014/chart" uri="{C3380CC4-5D6E-409C-BE32-E72D297353CC}">
              <c16:uniqueId val="{00000001-E074-45C7-B3A4-58F21F43632D}"/>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Maintenance'!$D$113:$D$132</c:f>
              <c:numCache>
                <c:formatCode>0%</c:formatCode>
                <c:ptCount val="20"/>
                <c:pt idx="0">
                  <c:v>1</c:v>
                </c:pt>
                <c:pt idx="1">
                  <c:v>1</c:v>
                </c:pt>
                <c:pt idx="2">
                  <c:v>1</c:v>
                </c:pt>
                <c:pt idx="3">
                  <c:v>1</c:v>
                </c:pt>
                <c:pt idx="4">
                  <c:v>0.999</c:v>
                </c:pt>
                <c:pt idx="5">
                  <c:v>0.98699999999999999</c:v>
                </c:pt>
                <c:pt idx="6">
                  <c:v>0.96099999999999997</c:v>
                </c:pt>
                <c:pt idx="7">
                  <c:v>0.92500000000000004</c:v>
                </c:pt>
                <c:pt idx="8">
                  <c:v>0.89300000000000002</c:v>
                </c:pt>
                <c:pt idx="9">
                  <c:v>0.84899999999999998</c:v>
                </c:pt>
                <c:pt idx="10">
                  <c:v>0.77500000000000002</c:v>
                </c:pt>
                <c:pt idx="11">
                  <c:v>0.72699999999999998</c:v>
                </c:pt>
                <c:pt idx="12">
                  <c:v>0.69699999999999995</c:v>
                </c:pt>
                <c:pt idx="13">
                  <c:v>0.64900000000000002</c:v>
                </c:pt>
                <c:pt idx="14">
                  <c:v>0.57099999999999995</c:v>
                </c:pt>
                <c:pt idx="15">
                  <c:v>0.51400000000000001</c:v>
                </c:pt>
                <c:pt idx="16">
                  <c:v>0.48499999999999999</c:v>
                </c:pt>
                <c:pt idx="17">
                  <c:v>0.498</c:v>
                </c:pt>
                <c:pt idx="18">
                  <c:v>0.48199999999999998</c:v>
                </c:pt>
                <c:pt idx="19">
                  <c:v>0.46700000000000003</c:v>
                </c:pt>
              </c:numCache>
            </c:numRef>
          </c:val>
          <c:smooth val="0"/>
          <c:extLst>
            <c:ext xmlns:c16="http://schemas.microsoft.com/office/drawing/2014/chart" uri="{C3380CC4-5D6E-409C-BE32-E72D297353CC}">
              <c16:uniqueId val="{00000002-E074-45C7-B3A4-58F21F43632D}"/>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Maintenance'!$E$113:$E$132</c:f>
              <c:numCache>
                <c:formatCode>0%</c:formatCode>
                <c:ptCount val="20"/>
                <c:pt idx="0">
                  <c:v>1</c:v>
                </c:pt>
                <c:pt idx="1">
                  <c:v>1</c:v>
                </c:pt>
                <c:pt idx="2">
                  <c:v>1</c:v>
                </c:pt>
                <c:pt idx="3">
                  <c:v>1</c:v>
                </c:pt>
                <c:pt idx="4">
                  <c:v>1</c:v>
                </c:pt>
                <c:pt idx="5">
                  <c:v>0.98</c:v>
                </c:pt>
                <c:pt idx="6">
                  <c:v>0.95</c:v>
                </c:pt>
                <c:pt idx="7">
                  <c:v>0.92</c:v>
                </c:pt>
                <c:pt idx="8">
                  <c:v>0.89</c:v>
                </c:pt>
                <c:pt idx="9">
                  <c:v>0.86</c:v>
                </c:pt>
                <c:pt idx="10">
                  <c:v>0.79</c:v>
                </c:pt>
                <c:pt idx="11">
                  <c:v>0.73</c:v>
                </c:pt>
                <c:pt idx="12">
                  <c:v>0.71</c:v>
                </c:pt>
                <c:pt idx="13">
                  <c:v>0.65</c:v>
                </c:pt>
                <c:pt idx="14">
                  <c:v>0.56999999999999995</c:v>
                </c:pt>
                <c:pt idx="15">
                  <c:v>0.53</c:v>
                </c:pt>
                <c:pt idx="16">
                  <c:v>0.5</c:v>
                </c:pt>
                <c:pt idx="17">
                  <c:v>0.48</c:v>
                </c:pt>
                <c:pt idx="18">
                  <c:v>0.5</c:v>
                </c:pt>
                <c:pt idx="19">
                  <c:v>0.48</c:v>
                </c:pt>
              </c:numCache>
            </c:numRef>
          </c:val>
          <c:smooth val="0"/>
          <c:extLst>
            <c:ext xmlns:c16="http://schemas.microsoft.com/office/drawing/2014/chart" uri="{C3380CC4-5D6E-409C-BE32-E72D297353CC}">
              <c16:uniqueId val="{00000003-E074-45C7-B3A4-58F21F43632D}"/>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Maintenance'!$F$113:$F$132</c:f>
              <c:numCache>
                <c:formatCode>0%</c:formatCode>
                <c:ptCount val="20"/>
                <c:pt idx="0">
                  <c:v>1</c:v>
                </c:pt>
                <c:pt idx="1">
                  <c:v>1</c:v>
                </c:pt>
                <c:pt idx="2">
                  <c:v>1</c:v>
                </c:pt>
                <c:pt idx="3">
                  <c:v>1</c:v>
                </c:pt>
                <c:pt idx="4">
                  <c:v>1</c:v>
                </c:pt>
                <c:pt idx="5">
                  <c:v>0.99</c:v>
                </c:pt>
                <c:pt idx="6">
                  <c:v>0.96</c:v>
                </c:pt>
                <c:pt idx="7">
                  <c:v>0.93</c:v>
                </c:pt>
                <c:pt idx="8">
                  <c:v>0.91</c:v>
                </c:pt>
                <c:pt idx="9">
                  <c:v>0.87</c:v>
                </c:pt>
                <c:pt idx="10">
                  <c:v>0.8</c:v>
                </c:pt>
                <c:pt idx="11">
                  <c:v>0.74</c:v>
                </c:pt>
                <c:pt idx="12">
                  <c:v>0.71</c:v>
                </c:pt>
                <c:pt idx="13">
                  <c:v>0.65</c:v>
                </c:pt>
                <c:pt idx="14">
                  <c:v>0.56999999999999995</c:v>
                </c:pt>
                <c:pt idx="15">
                  <c:v>0.53</c:v>
                </c:pt>
                <c:pt idx="16">
                  <c:v>0.51</c:v>
                </c:pt>
                <c:pt idx="17">
                  <c:v>0.5</c:v>
                </c:pt>
                <c:pt idx="18">
                  <c:v>0.48</c:v>
                </c:pt>
                <c:pt idx="19">
                  <c:v>0.47</c:v>
                </c:pt>
              </c:numCache>
            </c:numRef>
          </c:val>
          <c:smooth val="0"/>
          <c:extLst>
            <c:ext xmlns:c16="http://schemas.microsoft.com/office/drawing/2014/chart" uri="{C3380CC4-5D6E-409C-BE32-E72D297353CC}">
              <c16:uniqueId val="{00000004-E074-45C7-B3A4-58F21F43632D}"/>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Maintenance'!$G$113:$G$132</c:f>
              <c:numCache>
                <c:formatCode>0%</c:formatCode>
                <c:ptCount val="20"/>
                <c:pt idx="0">
                  <c:v>1</c:v>
                </c:pt>
                <c:pt idx="1">
                  <c:v>1</c:v>
                </c:pt>
                <c:pt idx="2">
                  <c:v>1</c:v>
                </c:pt>
                <c:pt idx="3">
                  <c:v>1</c:v>
                </c:pt>
                <c:pt idx="4">
                  <c:v>1</c:v>
                </c:pt>
                <c:pt idx="5">
                  <c:v>0.99</c:v>
                </c:pt>
                <c:pt idx="6">
                  <c:v>0.96</c:v>
                </c:pt>
                <c:pt idx="7">
                  <c:v>0.92</c:v>
                </c:pt>
                <c:pt idx="8">
                  <c:v>0.88</c:v>
                </c:pt>
                <c:pt idx="9">
                  <c:v>0.83</c:v>
                </c:pt>
                <c:pt idx="10">
                  <c:v>0.76</c:v>
                </c:pt>
                <c:pt idx="11">
                  <c:v>0.7</c:v>
                </c:pt>
                <c:pt idx="12">
                  <c:v>0.67</c:v>
                </c:pt>
                <c:pt idx="13">
                  <c:v>0.65</c:v>
                </c:pt>
                <c:pt idx="14">
                  <c:v>0.57999999999999996</c:v>
                </c:pt>
                <c:pt idx="15">
                  <c:v>0.54</c:v>
                </c:pt>
                <c:pt idx="16">
                  <c:v>0.53</c:v>
                </c:pt>
                <c:pt idx="17">
                  <c:v>0.5</c:v>
                </c:pt>
                <c:pt idx="18">
                  <c:v>0.51</c:v>
                </c:pt>
                <c:pt idx="19">
                  <c:v>0.47</c:v>
                </c:pt>
              </c:numCache>
            </c:numRef>
          </c:val>
          <c:smooth val="0"/>
          <c:extLst>
            <c:ext xmlns:c16="http://schemas.microsoft.com/office/drawing/2014/chart" uri="{C3380CC4-5D6E-409C-BE32-E72D297353CC}">
              <c16:uniqueId val="{00000005-E074-45C7-B3A4-58F21F43632D}"/>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Maintenance'!$H$113:$H$132</c:f>
              <c:numCache>
                <c:formatCode>0%</c:formatCode>
                <c:ptCount val="20"/>
                <c:pt idx="0">
                  <c:v>1</c:v>
                </c:pt>
                <c:pt idx="1">
                  <c:v>1</c:v>
                </c:pt>
                <c:pt idx="2">
                  <c:v>1</c:v>
                </c:pt>
                <c:pt idx="3">
                  <c:v>1</c:v>
                </c:pt>
                <c:pt idx="4">
                  <c:v>1</c:v>
                </c:pt>
                <c:pt idx="5">
                  <c:v>0.99</c:v>
                </c:pt>
                <c:pt idx="6">
                  <c:v>0.95</c:v>
                </c:pt>
                <c:pt idx="7">
                  <c:v>0.92</c:v>
                </c:pt>
                <c:pt idx="8">
                  <c:v>0.88</c:v>
                </c:pt>
                <c:pt idx="9">
                  <c:v>0.86</c:v>
                </c:pt>
                <c:pt idx="10">
                  <c:v>0.82</c:v>
                </c:pt>
                <c:pt idx="11">
                  <c:v>0.76</c:v>
                </c:pt>
                <c:pt idx="12">
                  <c:v>0.71</c:v>
                </c:pt>
                <c:pt idx="13">
                  <c:v>0.65</c:v>
                </c:pt>
                <c:pt idx="14">
                  <c:v>0.56999999999999995</c:v>
                </c:pt>
                <c:pt idx="15">
                  <c:v>0.52</c:v>
                </c:pt>
                <c:pt idx="16">
                  <c:v>0.5</c:v>
                </c:pt>
                <c:pt idx="17">
                  <c:v>0.5</c:v>
                </c:pt>
                <c:pt idx="18">
                  <c:v>0.5</c:v>
                </c:pt>
                <c:pt idx="19">
                  <c:v>0.49</c:v>
                </c:pt>
              </c:numCache>
            </c:numRef>
          </c:val>
          <c:smooth val="0"/>
          <c:extLst>
            <c:ext xmlns:c16="http://schemas.microsoft.com/office/drawing/2014/chart" uri="{C3380CC4-5D6E-409C-BE32-E72D297353CC}">
              <c16:uniqueId val="{00000006-E074-45C7-B3A4-58F21F43632D}"/>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Maintenance'!$I$113:$I$132</c:f>
              <c:numCache>
                <c:formatCode>0%</c:formatCode>
                <c:ptCount val="20"/>
                <c:pt idx="0">
                  <c:v>1</c:v>
                </c:pt>
                <c:pt idx="1">
                  <c:v>1</c:v>
                </c:pt>
                <c:pt idx="2">
                  <c:v>1</c:v>
                </c:pt>
                <c:pt idx="3">
                  <c:v>1</c:v>
                </c:pt>
                <c:pt idx="4">
                  <c:v>1</c:v>
                </c:pt>
                <c:pt idx="5">
                  <c:v>0.98</c:v>
                </c:pt>
                <c:pt idx="6">
                  <c:v>0.95</c:v>
                </c:pt>
                <c:pt idx="7">
                  <c:v>0.91</c:v>
                </c:pt>
                <c:pt idx="8">
                  <c:v>0.88</c:v>
                </c:pt>
                <c:pt idx="9">
                  <c:v>0.85</c:v>
                </c:pt>
                <c:pt idx="10">
                  <c:v>0.81</c:v>
                </c:pt>
                <c:pt idx="11">
                  <c:v>0.76</c:v>
                </c:pt>
                <c:pt idx="12">
                  <c:v>0.71</c:v>
                </c:pt>
                <c:pt idx="13">
                  <c:v>0.66</c:v>
                </c:pt>
                <c:pt idx="14">
                  <c:v>0.57999999999999996</c:v>
                </c:pt>
                <c:pt idx="15">
                  <c:v>0.52</c:v>
                </c:pt>
                <c:pt idx="16">
                  <c:v>0.49</c:v>
                </c:pt>
                <c:pt idx="17">
                  <c:v>0.48</c:v>
                </c:pt>
                <c:pt idx="18">
                  <c:v>0.49</c:v>
                </c:pt>
                <c:pt idx="19">
                  <c:v>0.49</c:v>
                </c:pt>
              </c:numCache>
            </c:numRef>
          </c:val>
          <c:smooth val="0"/>
          <c:extLst>
            <c:ext xmlns:c16="http://schemas.microsoft.com/office/drawing/2014/chart" uri="{C3380CC4-5D6E-409C-BE32-E72D297353CC}">
              <c16:uniqueId val="{00000007-E074-45C7-B3A4-58F21F43632D}"/>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Maintenance'!$J$113:$J$132</c:f>
              <c:numCache>
                <c:formatCode>0%</c:formatCode>
                <c:ptCount val="20"/>
                <c:pt idx="0">
                  <c:v>1</c:v>
                </c:pt>
                <c:pt idx="1">
                  <c:v>1</c:v>
                </c:pt>
                <c:pt idx="2">
                  <c:v>1</c:v>
                </c:pt>
                <c:pt idx="3">
                  <c:v>1</c:v>
                </c:pt>
                <c:pt idx="4">
                  <c:v>0.99853574504737297</c:v>
                </c:pt>
                <c:pt idx="5">
                  <c:v>0.97987719742310597</c:v>
                </c:pt>
                <c:pt idx="6">
                  <c:v>0.93838815047493296</c:v>
                </c:pt>
                <c:pt idx="7">
                  <c:v>0.90401040321520998</c:v>
                </c:pt>
                <c:pt idx="8">
                  <c:v>0.87372929332709803</c:v>
                </c:pt>
                <c:pt idx="9">
                  <c:v>0.84896446253142899</c:v>
                </c:pt>
                <c:pt idx="10">
                  <c:v>0.79546149488954498</c:v>
                </c:pt>
                <c:pt idx="11">
                  <c:v>0.74648795280138602</c:v>
                </c:pt>
                <c:pt idx="12">
                  <c:v>0.70459063750859396</c:v>
                </c:pt>
                <c:pt idx="13">
                  <c:v>0.649606341907778</c:v>
                </c:pt>
                <c:pt idx="14">
                  <c:v>0.58054034081029404</c:v>
                </c:pt>
                <c:pt idx="15">
                  <c:v>0.51248058109753503</c:v>
                </c:pt>
                <c:pt idx="16">
                  <c:v>0.47599572990121602</c:v>
                </c:pt>
                <c:pt idx="17">
                  <c:v>0.46490249000547901</c:v>
                </c:pt>
                <c:pt idx="18">
                  <c:v>0.46691770629430301</c:v>
                </c:pt>
                <c:pt idx="19">
                  <c:v>0.48671191243344503</c:v>
                </c:pt>
              </c:numCache>
            </c:numRef>
          </c:val>
          <c:smooth val="0"/>
          <c:extLst>
            <c:ext xmlns:c16="http://schemas.microsoft.com/office/drawing/2014/chart" uri="{C3380CC4-5D6E-409C-BE32-E72D297353CC}">
              <c16:uniqueId val="{00000008-E074-45C7-B3A4-58F21F43632D}"/>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Maintenance'!$K$113:$K$132</c:f>
              <c:numCache>
                <c:formatCode>0%</c:formatCode>
                <c:ptCount val="20"/>
                <c:pt idx="0">
                  <c:v>1</c:v>
                </c:pt>
                <c:pt idx="1">
                  <c:v>1</c:v>
                </c:pt>
                <c:pt idx="2">
                  <c:v>1</c:v>
                </c:pt>
                <c:pt idx="3">
                  <c:v>1</c:v>
                </c:pt>
                <c:pt idx="4">
                  <c:v>0.99463545965176603</c:v>
                </c:pt>
                <c:pt idx="5">
                  <c:v>0.96809322165831202</c:v>
                </c:pt>
                <c:pt idx="6">
                  <c:v>0.925916775491476</c:v>
                </c:pt>
                <c:pt idx="7">
                  <c:v>0.88960854590419602</c:v>
                </c:pt>
                <c:pt idx="8">
                  <c:v>0.86752007510957196</c:v>
                </c:pt>
                <c:pt idx="9">
                  <c:v>0.82589903266300702</c:v>
                </c:pt>
                <c:pt idx="10">
                  <c:v>0.77933590813655096</c:v>
                </c:pt>
                <c:pt idx="11">
                  <c:v>0.71566420876922998</c:v>
                </c:pt>
                <c:pt idx="12">
                  <c:v>0.67707215941909404</c:v>
                </c:pt>
                <c:pt idx="13">
                  <c:v>0.63670378049365495</c:v>
                </c:pt>
                <c:pt idx="14">
                  <c:v>0.56742614844054995</c:v>
                </c:pt>
                <c:pt idx="15">
                  <c:v>0.50369500956355395</c:v>
                </c:pt>
                <c:pt idx="16">
                  <c:v>0.46175525884872098</c:v>
                </c:pt>
                <c:pt idx="17">
                  <c:v>0.44978875039468302</c:v>
                </c:pt>
                <c:pt idx="18">
                  <c:v>0.45084420723664198</c:v>
                </c:pt>
                <c:pt idx="19">
                  <c:v>0.46007456516985201</c:v>
                </c:pt>
              </c:numCache>
            </c:numRef>
          </c:val>
          <c:smooth val="0"/>
          <c:extLst>
            <c:ext xmlns:c16="http://schemas.microsoft.com/office/drawing/2014/chart" uri="{C3380CC4-5D6E-409C-BE32-E72D297353CC}">
              <c16:uniqueId val="{00000009-E074-45C7-B3A4-58F21F43632D}"/>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Maintenance'!$L$113:$L$132</c:f>
              <c:numCache>
                <c:formatCode>0%</c:formatCode>
                <c:ptCount val="20"/>
                <c:pt idx="0">
                  <c:v>1</c:v>
                </c:pt>
                <c:pt idx="1">
                  <c:v>1</c:v>
                </c:pt>
                <c:pt idx="2">
                  <c:v>1</c:v>
                </c:pt>
                <c:pt idx="3">
                  <c:v>1</c:v>
                </c:pt>
                <c:pt idx="4">
                  <c:v>0.99</c:v>
                </c:pt>
                <c:pt idx="5">
                  <c:v>0.96</c:v>
                </c:pt>
                <c:pt idx="6">
                  <c:v>0.93</c:v>
                </c:pt>
                <c:pt idx="7">
                  <c:v>0.89</c:v>
                </c:pt>
                <c:pt idx="8">
                  <c:v>0.86</c:v>
                </c:pt>
                <c:pt idx="9">
                  <c:v>0.82</c:v>
                </c:pt>
                <c:pt idx="10">
                  <c:v>0.76</c:v>
                </c:pt>
                <c:pt idx="11">
                  <c:v>0.71</c:v>
                </c:pt>
                <c:pt idx="12">
                  <c:v>0.66</c:v>
                </c:pt>
                <c:pt idx="13">
                  <c:v>0.62</c:v>
                </c:pt>
                <c:pt idx="14">
                  <c:v>0.56999999999999995</c:v>
                </c:pt>
                <c:pt idx="15">
                  <c:v>0.5</c:v>
                </c:pt>
                <c:pt idx="16">
                  <c:v>0.46</c:v>
                </c:pt>
                <c:pt idx="17">
                  <c:v>0.44</c:v>
                </c:pt>
                <c:pt idx="18">
                  <c:v>0.44</c:v>
                </c:pt>
                <c:pt idx="19">
                  <c:v>0.44</c:v>
                </c:pt>
              </c:numCache>
            </c:numRef>
          </c:val>
          <c:smooth val="0"/>
          <c:extLst>
            <c:ext xmlns:c16="http://schemas.microsoft.com/office/drawing/2014/chart" uri="{C3380CC4-5D6E-409C-BE32-E72D297353CC}">
              <c16:uniqueId val="{0000000A-E074-45C7-B3A4-58F21F43632D}"/>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Maintenance'!$M$113:$M$132</c:f>
              <c:numCache>
                <c:formatCode>0%</c:formatCode>
                <c:ptCount val="20"/>
                <c:pt idx="0">
                  <c:v>1</c:v>
                </c:pt>
                <c:pt idx="1">
                  <c:v>1</c:v>
                </c:pt>
                <c:pt idx="2">
                  <c:v>1</c:v>
                </c:pt>
                <c:pt idx="3">
                  <c:v>1</c:v>
                </c:pt>
                <c:pt idx="4">
                  <c:v>0.99313954128945769</c:v>
                </c:pt>
                <c:pt idx="5">
                  <c:v>0.95974279130376117</c:v>
                </c:pt>
                <c:pt idx="6">
                  <c:v>0.9226428420339372</c:v>
                </c:pt>
                <c:pt idx="7">
                  <c:v>0.89165070682832681</c:v>
                </c:pt>
                <c:pt idx="8">
                  <c:v>0.86144249844350007</c:v>
                </c:pt>
                <c:pt idx="9">
                  <c:v>0.81185489795332078</c:v>
                </c:pt>
                <c:pt idx="10">
                  <c:v>0.75665672126855732</c:v>
                </c:pt>
                <c:pt idx="11">
                  <c:v>0.69299083363690961</c:v>
                </c:pt>
                <c:pt idx="12">
                  <c:v>0.65745612898208872</c:v>
                </c:pt>
                <c:pt idx="13">
                  <c:v>0.61210975878731977</c:v>
                </c:pt>
                <c:pt idx="14">
                  <c:v>0.56054026734879114</c:v>
                </c:pt>
                <c:pt idx="15">
                  <c:v>0.5061906716199146</c:v>
                </c:pt>
                <c:pt idx="16">
                  <c:v>0.45015290851516071</c:v>
                </c:pt>
                <c:pt idx="17">
                  <c:v>0.42</c:v>
                </c:pt>
                <c:pt idx="18">
                  <c:v>0.42485545992001389</c:v>
                </c:pt>
                <c:pt idx="19">
                  <c:v>0.43</c:v>
                </c:pt>
              </c:numCache>
            </c:numRef>
          </c:val>
          <c:smooth val="0"/>
          <c:extLst>
            <c:ext xmlns:c16="http://schemas.microsoft.com/office/drawing/2014/chart" uri="{C3380CC4-5D6E-409C-BE32-E72D297353CC}">
              <c16:uniqueId val="{0000000B-E074-45C7-B3A4-58F21F43632D}"/>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Maintenance'!$N$113:$N$132</c:f>
              <c:numCache>
                <c:formatCode>0%</c:formatCode>
                <c:ptCount val="20"/>
                <c:pt idx="0">
                  <c:v>1</c:v>
                </c:pt>
                <c:pt idx="1">
                  <c:v>1</c:v>
                </c:pt>
                <c:pt idx="2">
                  <c:v>1</c:v>
                </c:pt>
                <c:pt idx="3">
                  <c:v>1</c:v>
                </c:pt>
                <c:pt idx="4">
                  <c:v>0.998</c:v>
                </c:pt>
                <c:pt idx="5">
                  <c:v>0.97499999999999998</c:v>
                </c:pt>
                <c:pt idx="6">
                  <c:v>0.93400000000000005</c:v>
                </c:pt>
                <c:pt idx="7">
                  <c:v>0.9</c:v>
                </c:pt>
                <c:pt idx="8">
                  <c:v>0.87</c:v>
                </c:pt>
                <c:pt idx="9">
                  <c:v>0.81599999999999995</c:v>
                </c:pt>
                <c:pt idx="10">
                  <c:v>0.747</c:v>
                </c:pt>
                <c:pt idx="11">
                  <c:v>0.69299999999999995</c:v>
                </c:pt>
                <c:pt idx="12">
                  <c:v>0.64400000000000002</c:v>
                </c:pt>
                <c:pt idx="13">
                  <c:v>0.60799999999999998</c:v>
                </c:pt>
                <c:pt idx="14">
                  <c:v>0.54900000000000004</c:v>
                </c:pt>
                <c:pt idx="15">
                  <c:v>0.48699999999999999</c:v>
                </c:pt>
                <c:pt idx="16">
                  <c:v>0.44400000000000001</c:v>
                </c:pt>
                <c:pt idx="17">
                  <c:v>0.41099999999999998</c:v>
                </c:pt>
                <c:pt idx="18">
                  <c:v>0.40300000000000002</c:v>
                </c:pt>
                <c:pt idx="19">
                  <c:v>0.40899999999999997</c:v>
                </c:pt>
              </c:numCache>
            </c:numRef>
          </c:val>
          <c:smooth val="0"/>
          <c:extLst>
            <c:ext xmlns:c16="http://schemas.microsoft.com/office/drawing/2014/chart" uri="{C3380CC4-5D6E-409C-BE32-E72D297353CC}">
              <c16:uniqueId val="{00000001-E452-491B-8AD0-42309D51BAEA}"/>
            </c:ext>
          </c:extLst>
        </c:ser>
        <c:dLbls>
          <c:showLegendKey val="0"/>
          <c:showVal val="0"/>
          <c:showCatName val="0"/>
          <c:showSerName val="0"/>
          <c:showPercent val="0"/>
          <c:showBubbleSize val="0"/>
        </c:dLbls>
        <c:smooth val="0"/>
        <c:axId val="621911288"/>
        <c:axId val="621912464"/>
      </c:lineChart>
      <c:catAx>
        <c:axId val="621911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2464"/>
        <c:crosses val="autoZero"/>
        <c:auto val="1"/>
        <c:lblAlgn val="ctr"/>
        <c:lblOffset val="100"/>
        <c:noMultiLvlLbl val="0"/>
      </c:catAx>
      <c:valAx>
        <c:axId val="62191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en-US"/>
          </a:p>
        </c:txPr>
        <c:crossAx val="621911288"/>
        <c:crosses val="autoZero"/>
        <c:crossBetween val="between"/>
        <c:majorUnit val="0.25"/>
        <c:minorUnit val="0.05"/>
      </c:valAx>
      <c:spPr>
        <a:noFill/>
        <a:ln>
          <a:noFill/>
        </a:ln>
        <a:effectLst/>
      </c:spPr>
    </c:plotArea>
    <c:legend>
      <c:legendPos val="b"/>
      <c:layout>
        <c:manualLayout>
          <c:xMode val="edge"/>
          <c:yMode val="edge"/>
          <c:x val="9.1079218181755808E-2"/>
          <c:y val="0.90446427474743019"/>
          <c:w val="0.81782596993596912"/>
          <c:h val="9.5535725252569814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5.1 PROPORTIONS OF APPLICATIONS FILED VIA THE PCT - ORIGIN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521"/>
          <c:h val="0.848096681618974"/>
        </c:manualLayout>
      </c:layout>
      <c:lineChart>
        <c:grouping val="standard"/>
        <c:varyColors val="0"/>
        <c:ser>
          <c:idx val="0"/>
          <c:order val="0"/>
          <c:tx>
            <c:strRef>
              <c:f>'Ch5. PCT as filing route '!$A$7</c:f>
              <c:strCache>
                <c:ptCount val="1"/>
                <c:pt idx="0">
                  <c:v>EPC states</c:v>
                </c:pt>
              </c:strCache>
            </c:strRef>
          </c:tx>
          <c:spPr>
            <a:ln w="38100" cap="rnd">
              <a:solidFill>
                <a:srgbClr val="558ED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'!$D$7:$Q$7</c:f>
              <c:numCache>
                <c:formatCode>0%</c:formatCode>
                <c:ptCount val="14"/>
                <c:pt idx="0">
                  <c:v>0.2</c:v>
                </c:pt>
                <c:pt idx="1">
                  <c:v>0.2</c:v>
                </c:pt>
                <c:pt idx="2">
                  <c:v>0.2</c:v>
                </c:pt>
                <c:pt idx="3">
                  <c:v>0.196379110196852</c:v>
                </c:pt>
                <c:pt idx="4">
                  <c:v>0.196873983531063</c:v>
                </c:pt>
                <c:pt idx="5">
                  <c:v>0.19592403732601599</c:v>
                </c:pt>
                <c:pt idx="6">
                  <c:v>0.19762442022930299</c:v>
                </c:pt>
                <c:pt idx="7">
                  <c:v>0.20121857085516101</c:v>
                </c:pt>
                <c:pt idx="8">
                  <c:v>0.196655577996911</c:v>
                </c:pt>
                <c:pt idx="9">
                  <c:v>0.20101416250447099</c:v>
                </c:pt>
                <c:pt idx="10">
                  <c:v>0.2054843517138599</c:v>
                </c:pt>
                <c:pt idx="11">
                  <c:v>0.20699999999999999</c:v>
                </c:pt>
                <c:pt idx="12">
                  <c:v>0.21277459950294994</c:v>
                </c:pt>
                <c:pt idx="13">
                  <c:v>0.21</c:v>
                </c:pt>
              </c:numCache>
            </c:numRef>
          </c:val>
          <c:smooth val="0"/>
          <c:extLst>
            <c:ext xmlns:c16="http://schemas.microsoft.com/office/drawing/2014/chart" uri="{C3380CC4-5D6E-409C-BE32-E72D297353CC}">
              <c16:uniqueId val="{00000000-4220-446F-B601-F79C3310A6D4}"/>
            </c:ext>
          </c:extLst>
        </c:ser>
        <c:ser>
          <c:idx val="1"/>
          <c:order val="1"/>
          <c:tx>
            <c:strRef>
              <c:f>'Ch5. PCT as filing route '!$A$8</c:f>
              <c:strCache>
                <c:ptCount val="1"/>
                <c:pt idx="0">
                  <c:v>Japan</c:v>
                </c:pt>
              </c:strCache>
            </c:strRef>
          </c:tx>
          <c:spPr>
            <a:ln w="38100" cap="rnd">
              <a:solidFill>
                <a:srgbClr val="C0504D"/>
              </a:solidFill>
              <a:round/>
            </a:ln>
            <a:effectLst/>
          </c:spPr>
          <c:marker>
            <c:symbol val="none"/>
          </c:marker>
          <c:dLbls>
            <c:dLbl>
              <c:idx val="0"/>
              <c:layout>
                <c:manualLayout>
                  <c:x val="-2.5960085570227401E-2"/>
                  <c:y val="-2.7365804212631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0-446F-B601-F79C3310A6D4}"/>
                </c:ext>
              </c:extLst>
            </c:dLbl>
            <c:dLbl>
              <c:idx val="11"/>
              <c:layout>
                <c:manualLayout>
                  <c:x val="-2.180083579248936E-2"/>
                  <c:y val="3.5592258336121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0-446F-B601-F79C3310A6D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220-446F-B601-F79C3310A6D4}"/>
                </c:ext>
              </c:extLst>
            </c:dLbl>
            <c:dLbl>
              <c:idx val="13"/>
              <c:layout>
                <c:manualLayout>
                  <c:x val="-2.5313856394233569E-2"/>
                  <c:y val="2.73718958207147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48-4092-B359-846B8B330968}"/>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C0504D"/>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'!$D$8:$Q$8</c:f>
              <c:numCache>
                <c:formatCode>0%</c:formatCode>
                <c:ptCount val="14"/>
                <c:pt idx="0">
                  <c:v>0.06</c:v>
                </c:pt>
                <c:pt idx="1">
                  <c:v>7.0000000000000007E-2</c:v>
                </c:pt>
                <c:pt idx="2">
                  <c:v>0.08</c:v>
                </c:pt>
                <c:pt idx="3">
                  <c:v>9.3347644637823093E-2</c:v>
                </c:pt>
                <c:pt idx="4">
                  <c:v>0.10411677882211701</c:v>
                </c:pt>
                <c:pt idx="5">
                  <c:v>0.111537846055369</c:v>
                </c:pt>
                <c:pt idx="6">
                  <c:v>0.11069117996588899</c:v>
                </c:pt>
                <c:pt idx="7">
                  <c:v>0.116254090573208</c:v>
                </c:pt>
                <c:pt idx="8">
                  <c:v>0.11925569715083099</c:v>
                </c:pt>
                <c:pt idx="9">
                  <c:v>0.12738823206084299</c:v>
                </c:pt>
                <c:pt idx="10">
                  <c:v>0.1321524762636562</c:v>
                </c:pt>
                <c:pt idx="11">
                  <c:v>0.14399999999999999</c:v>
                </c:pt>
                <c:pt idx="12">
                  <c:v>0.14951124563638568</c:v>
                </c:pt>
                <c:pt idx="13">
                  <c:v>0.15</c:v>
                </c:pt>
              </c:numCache>
            </c:numRef>
          </c:val>
          <c:smooth val="0"/>
          <c:extLst>
            <c:ext xmlns:c16="http://schemas.microsoft.com/office/drawing/2014/chart" uri="{C3380CC4-5D6E-409C-BE32-E72D297353CC}">
              <c16:uniqueId val="{00000003-4220-446F-B601-F79C3310A6D4}"/>
            </c:ext>
          </c:extLst>
        </c:ser>
        <c:ser>
          <c:idx val="2"/>
          <c:order val="2"/>
          <c:tx>
            <c:strRef>
              <c:f>'Ch5. PCT as filing route '!$A$9</c:f>
              <c:strCache>
                <c:ptCount val="1"/>
                <c:pt idx="0">
                  <c:v>R. Korea</c:v>
                </c:pt>
              </c:strCache>
            </c:strRef>
          </c:tx>
          <c:spPr>
            <a:ln w="38100" cap="rnd">
              <a:solidFill>
                <a:srgbClr val="604A7B"/>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856BA5"/>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'!$D$9:$Q$9</c:f>
              <c:numCache>
                <c:formatCode>0%</c:formatCode>
                <c:ptCount val="14"/>
                <c:pt idx="0">
                  <c:v>0.05</c:v>
                </c:pt>
                <c:pt idx="1">
                  <c:v>0.05</c:v>
                </c:pt>
                <c:pt idx="2">
                  <c:v>0.06</c:v>
                </c:pt>
                <c:pt idx="3">
                  <c:v>5.6811754981292997E-2</c:v>
                </c:pt>
                <c:pt idx="4">
                  <c:v>5.9472632598692197E-2</c:v>
                </c:pt>
                <c:pt idx="5">
                  <c:v>5.7167786970010299E-2</c:v>
                </c:pt>
                <c:pt idx="6">
                  <c:v>5.8975592430911203E-2</c:v>
                </c:pt>
                <c:pt idx="7">
                  <c:v>6.3498914436684206E-2</c:v>
                </c:pt>
                <c:pt idx="8">
                  <c:v>6.9464292093887298E-2</c:v>
                </c:pt>
                <c:pt idx="9">
                  <c:v>7.0000000000000007E-2</c:v>
                </c:pt>
                <c:pt idx="10">
                  <c:v>7.6936369920325973E-2</c:v>
                </c:pt>
                <c:pt idx="11">
                  <c:v>8.1000000000000003E-2</c:v>
                </c:pt>
                <c:pt idx="12">
                  <c:v>8.1474375650364209E-2</c:v>
                </c:pt>
                <c:pt idx="13">
                  <c:v>0.09</c:v>
                </c:pt>
              </c:numCache>
            </c:numRef>
          </c:val>
          <c:smooth val="0"/>
          <c:extLst>
            <c:ext xmlns:c16="http://schemas.microsoft.com/office/drawing/2014/chart" uri="{C3380CC4-5D6E-409C-BE32-E72D297353CC}">
              <c16:uniqueId val="{00000004-4220-446F-B601-F79C3310A6D4}"/>
            </c:ext>
          </c:extLst>
        </c:ser>
        <c:ser>
          <c:idx val="3"/>
          <c:order val="3"/>
          <c:tx>
            <c:strRef>
              <c:f>'Ch5. PCT as filing route '!$A$10</c:f>
              <c:strCache>
                <c:ptCount val="1"/>
                <c:pt idx="0">
                  <c:v>P.R. China</c:v>
                </c:pt>
              </c:strCache>
            </c:strRef>
          </c:tx>
          <c:spPr>
            <a:ln w="38100"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FFC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'!$D$10:$Q$10</c:f>
              <c:numCache>
                <c:formatCode>0%</c:formatCode>
                <c:ptCount val="14"/>
                <c:pt idx="0">
                  <c:v>0.03</c:v>
                </c:pt>
                <c:pt idx="1">
                  <c:v>0.03</c:v>
                </c:pt>
                <c:pt idx="2">
                  <c:v>0.04</c:v>
                </c:pt>
                <c:pt idx="3">
                  <c:v>3.7337266926629802E-2</c:v>
                </c:pt>
                <c:pt idx="4">
                  <c:v>3.3092397457110498E-2</c:v>
                </c:pt>
                <c:pt idx="5">
                  <c:v>2.9117185506160399E-2</c:v>
                </c:pt>
                <c:pt idx="6">
                  <c:v>3.04330002073596E-2</c:v>
                </c:pt>
                <c:pt idx="7">
                  <c:v>2.9460772008609901E-2</c:v>
                </c:pt>
                <c:pt idx="8">
                  <c:v>3.4052295019266099E-2</c:v>
                </c:pt>
                <c:pt idx="9">
                  <c:v>0.04</c:v>
                </c:pt>
                <c:pt idx="10">
                  <c:v>0.04</c:v>
                </c:pt>
                <c:pt idx="11">
                  <c:v>4.3999999999999997E-2</c:v>
                </c:pt>
                <c:pt idx="12">
                  <c:v>4.7307216879766259E-2</c:v>
                </c:pt>
                <c:pt idx="13">
                  <c:v>0.05</c:v>
                </c:pt>
              </c:numCache>
            </c:numRef>
          </c:val>
          <c:smooth val="0"/>
          <c:extLst>
            <c:ext xmlns:c16="http://schemas.microsoft.com/office/drawing/2014/chart" uri="{C3380CC4-5D6E-409C-BE32-E72D297353CC}">
              <c16:uniqueId val="{00000005-4220-446F-B601-F79C3310A6D4}"/>
            </c:ext>
          </c:extLst>
        </c:ser>
        <c:ser>
          <c:idx val="4"/>
          <c:order val="4"/>
          <c:tx>
            <c:strRef>
              <c:f>'Ch5. PCT as filing route '!$A$11</c:f>
              <c:strCache>
                <c:ptCount val="1"/>
                <c:pt idx="0">
                  <c:v>U.S.</c:v>
                </c:pt>
              </c:strCache>
            </c:strRef>
          </c:tx>
          <c:spPr>
            <a:ln w="381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0099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'!$D$11:$Q$11</c:f>
              <c:numCache>
                <c:formatCode>0%</c:formatCode>
                <c:ptCount val="14"/>
                <c:pt idx="0">
                  <c:v>0.16</c:v>
                </c:pt>
                <c:pt idx="1">
                  <c:v>0.15</c:v>
                </c:pt>
                <c:pt idx="2">
                  <c:v>0.14000000000000001</c:v>
                </c:pt>
                <c:pt idx="3">
                  <c:v>0.14464428786879099</c:v>
                </c:pt>
                <c:pt idx="4">
                  <c:v>0.14113081013994999</c:v>
                </c:pt>
                <c:pt idx="5">
                  <c:v>0.14678801934962299</c:v>
                </c:pt>
                <c:pt idx="6">
                  <c:v>0.15827280543886099</c:v>
                </c:pt>
                <c:pt idx="7">
                  <c:v>0.14850475286163001</c:v>
                </c:pt>
                <c:pt idx="8">
                  <c:v>0.14350885645817699</c:v>
                </c:pt>
                <c:pt idx="9">
                  <c:v>0.15</c:v>
                </c:pt>
                <c:pt idx="10">
                  <c:v>0.14896451271186439</c:v>
                </c:pt>
                <c:pt idx="11">
                  <c:v>0.15</c:v>
                </c:pt>
                <c:pt idx="12">
                  <c:v>0.16293567345983317</c:v>
                </c:pt>
                <c:pt idx="13">
                  <c:v>0.16</c:v>
                </c:pt>
              </c:numCache>
            </c:numRef>
          </c:val>
          <c:smooth val="0"/>
          <c:extLst>
            <c:ext xmlns:c16="http://schemas.microsoft.com/office/drawing/2014/chart" uri="{C3380CC4-5D6E-409C-BE32-E72D297353CC}">
              <c16:uniqueId val="{00000006-4220-446F-B601-F79C3310A6D4}"/>
            </c:ext>
          </c:extLst>
        </c:ser>
        <c:ser>
          <c:idx val="5"/>
          <c:order val="5"/>
          <c:tx>
            <c:strRef>
              <c:f>'Ch5. PCT as filing route '!$A$12</c:f>
              <c:strCache>
                <c:ptCount val="1"/>
                <c:pt idx="0">
                  <c:v>Others</c:v>
                </c:pt>
              </c:strCache>
            </c:strRef>
          </c:tx>
          <c:spPr>
            <a:ln w="38100" cap="rnd">
              <a:solidFill>
                <a:schemeClr val="accent2"/>
              </a:solidFill>
              <a:round/>
            </a:ln>
            <a:effectLst/>
          </c:spPr>
          <c:marker>
            <c:symbol val="none"/>
          </c:marker>
          <c:dLbls>
            <c:dLbl>
              <c:idx val="0"/>
              <c:layout>
                <c:manualLayout>
                  <c:x val="-2.3048129813611901E-2"/>
                  <c:y val="1.14633057554233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20-446F-B601-F79C3310A6D4}"/>
                </c:ext>
              </c:extLst>
            </c:dLbl>
            <c:dLbl>
              <c:idx val="9"/>
              <c:layout>
                <c:manualLayout>
                  <c:x val="-2.3048129813611901E-2"/>
                  <c:y val="-1.7691657360522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0-446F-B601-F79C3310A6D4}"/>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chemeClr val="accent2"/>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'!$D$12:$Q$12</c:f>
              <c:numCache>
                <c:formatCode>0%</c:formatCode>
                <c:ptCount val="14"/>
                <c:pt idx="0">
                  <c:v>7.0000000000000007E-2</c:v>
                </c:pt>
                <c:pt idx="1">
                  <c:v>7.0000000000000007E-2</c:v>
                </c:pt>
                <c:pt idx="2">
                  <c:v>0.08</c:v>
                </c:pt>
                <c:pt idx="3">
                  <c:v>8.6032352199445203E-2</c:v>
                </c:pt>
                <c:pt idx="4">
                  <c:v>7.8409039136179304E-2</c:v>
                </c:pt>
                <c:pt idx="5">
                  <c:v>7.6355102390960702E-2</c:v>
                </c:pt>
                <c:pt idx="6">
                  <c:v>8.3515752896237194E-2</c:v>
                </c:pt>
                <c:pt idx="7">
                  <c:v>7.3264898773880802E-2</c:v>
                </c:pt>
                <c:pt idx="8">
                  <c:v>7.53361339621096E-2</c:v>
                </c:pt>
                <c:pt idx="9">
                  <c:v>7.8560193015032004E-2</c:v>
                </c:pt>
                <c:pt idx="10">
                  <c:v>8.2199234802323939E-2</c:v>
                </c:pt>
                <c:pt idx="11">
                  <c:v>7.5999999999999998E-2</c:v>
                </c:pt>
                <c:pt idx="12">
                  <c:v>7.531410051216389E-2</c:v>
                </c:pt>
                <c:pt idx="13">
                  <c:v>0.08</c:v>
                </c:pt>
              </c:numCache>
            </c:numRef>
          </c:val>
          <c:smooth val="0"/>
          <c:extLst>
            <c:ext xmlns:c16="http://schemas.microsoft.com/office/drawing/2014/chart" uri="{C3380CC4-5D6E-409C-BE32-E72D297353CC}">
              <c16:uniqueId val="{00000009-4220-446F-B601-F79C3310A6D4}"/>
            </c:ext>
          </c:extLst>
        </c:ser>
        <c:ser>
          <c:idx val="6"/>
          <c:order val="6"/>
          <c:tx>
            <c:strRef>
              <c:f>'Ch5. PCT as filing route '!$A$13</c:f>
              <c:strCache>
                <c:ptCount val="1"/>
                <c:pt idx="0">
                  <c:v>All</c:v>
                </c:pt>
              </c:strCache>
            </c:strRef>
          </c:tx>
          <c:spPr>
            <a:ln w="44450" cap="rnd">
              <a:solidFill>
                <a:schemeClr val="tx1"/>
              </a:solidFill>
              <a:prstDash val="sysDot"/>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'!$D$6:$Q$6</c:f>
              <c:numCache>
                <c:formatCode>General</c:formatCod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numCache>
            </c:numRef>
          </c:cat>
          <c:val>
            <c:numRef>
              <c:f>'Ch5. PCT as filing route '!$D$13:$Q$13</c:f>
              <c:numCache>
                <c:formatCode>0%</c:formatCode>
                <c:ptCount val="14"/>
                <c:pt idx="0">
                  <c:v>0.1</c:v>
                </c:pt>
                <c:pt idx="1">
                  <c:v>0.1</c:v>
                </c:pt>
                <c:pt idx="2">
                  <c:v>0.1</c:v>
                </c:pt>
                <c:pt idx="3">
                  <c:v>0.10127301160982601</c:v>
                </c:pt>
                <c:pt idx="4">
                  <c:v>9.8057435569973206E-2</c:v>
                </c:pt>
                <c:pt idx="5">
                  <c:v>9.3339128545039701E-2</c:v>
                </c:pt>
                <c:pt idx="6">
                  <c:v>9.3611005064439201E-2</c:v>
                </c:pt>
                <c:pt idx="7">
                  <c:v>8.7783640680312594E-2</c:v>
                </c:pt>
                <c:pt idx="8">
                  <c:v>8.51060098044088E-2</c:v>
                </c:pt>
                <c:pt idx="9">
                  <c:v>8.7885266526013098E-2</c:v>
                </c:pt>
                <c:pt idx="10">
                  <c:v>8.7885266526013098E-2</c:v>
                </c:pt>
                <c:pt idx="11">
                  <c:v>9.1999999999999998E-2</c:v>
                </c:pt>
                <c:pt idx="12">
                  <c:v>9.5098150801061238E-2</c:v>
                </c:pt>
                <c:pt idx="13">
                  <c:v>0.09</c:v>
                </c:pt>
              </c:numCache>
            </c:numRef>
          </c:val>
          <c:smooth val="0"/>
          <c:extLst>
            <c:ext xmlns:c16="http://schemas.microsoft.com/office/drawing/2014/chart" uri="{C3380CC4-5D6E-409C-BE32-E72D297353CC}">
              <c16:uniqueId val="{0000000A-4220-446F-B601-F79C3310A6D4}"/>
            </c:ext>
          </c:extLst>
        </c:ser>
        <c:dLbls>
          <c:showLegendKey val="0"/>
          <c:showVal val="0"/>
          <c:showCatName val="0"/>
          <c:showSerName val="0"/>
          <c:showPercent val="0"/>
          <c:showBubbleSize val="0"/>
        </c:dLbls>
        <c:smooth val="0"/>
        <c:axId val="621907760"/>
        <c:axId val="621914816"/>
      </c:lineChart>
      <c:catAx>
        <c:axId val="62190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621914816"/>
        <c:crosses val="autoZero"/>
        <c:auto val="1"/>
        <c:lblAlgn val="ctr"/>
        <c:lblOffset val="100"/>
        <c:noMultiLvlLbl val="0"/>
      </c:catAx>
      <c:valAx>
        <c:axId val="621914816"/>
        <c:scaling>
          <c:orientation val="minMax"/>
        </c:scaling>
        <c:delete val="1"/>
        <c:axPos val="l"/>
        <c:numFmt formatCode="0%" sourceLinked="1"/>
        <c:majorTickMark val="none"/>
        <c:minorTickMark val="none"/>
        <c:tickLblPos val="nextTo"/>
        <c:crossAx val="62190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5.2 PROPORTIONS OF PCT ENTERING NATIONAL&amp;/REGIONAL PHASE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521"/>
          <c:h val="0.848096681618974"/>
        </c:manualLayout>
      </c:layout>
      <c:lineChart>
        <c:grouping val="standard"/>
        <c:varyColors val="0"/>
        <c:ser>
          <c:idx val="0"/>
          <c:order val="0"/>
          <c:tx>
            <c:strRef>
              <c:f>'Ch5. PCT as filing route '!$A$36</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'!$D$36:$Q$36</c:f>
              <c:numCache>
                <c:formatCode>0%</c:formatCode>
                <c:ptCount val="14"/>
                <c:pt idx="0">
                  <c:v>0.49</c:v>
                </c:pt>
                <c:pt idx="1">
                  <c:v>0.5</c:v>
                </c:pt>
                <c:pt idx="2">
                  <c:v>0.52</c:v>
                </c:pt>
                <c:pt idx="3">
                  <c:v>0.50870733465596596</c:v>
                </c:pt>
                <c:pt idx="4">
                  <c:v>0.48744016132005402</c:v>
                </c:pt>
                <c:pt idx="5">
                  <c:v>0.47378665774092998</c:v>
                </c:pt>
                <c:pt idx="6">
                  <c:v>0.479991601111388</c:v>
                </c:pt>
                <c:pt idx="7">
                  <c:v>0.46952060571780102</c:v>
                </c:pt>
                <c:pt idx="8">
                  <c:v>0.45842579359109398</c:v>
                </c:pt>
                <c:pt idx="9">
                  <c:v>0.44</c:v>
                </c:pt>
                <c:pt idx="10">
                  <c:v>0.42801937846333321</c:v>
                </c:pt>
                <c:pt idx="11">
                  <c:v>0.42017084466198962</c:v>
                </c:pt>
                <c:pt idx="12">
                  <c:v>0.43366673952860835</c:v>
                </c:pt>
                <c:pt idx="13">
                  <c:v>0.44</c:v>
                </c:pt>
              </c:numCache>
            </c:numRef>
          </c:val>
          <c:smooth val="0"/>
          <c:extLst>
            <c:ext xmlns:c16="http://schemas.microsoft.com/office/drawing/2014/chart" uri="{C3380CC4-5D6E-409C-BE32-E72D297353CC}">
              <c16:uniqueId val="{00000000-7474-4EDA-A8EB-80BD41071537}"/>
            </c:ext>
          </c:extLst>
        </c:ser>
        <c:ser>
          <c:idx val="1"/>
          <c:order val="1"/>
          <c:tx>
            <c:strRef>
              <c:f>'Ch5. PCT as filing route '!$A$37</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'!$D$37:$Q$37</c:f>
              <c:numCache>
                <c:formatCode>0%</c:formatCode>
                <c:ptCount val="14"/>
                <c:pt idx="0">
                  <c:v>0.33</c:v>
                </c:pt>
                <c:pt idx="1">
                  <c:v>0.34</c:v>
                </c:pt>
                <c:pt idx="2">
                  <c:v>0.36</c:v>
                </c:pt>
                <c:pt idx="3">
                  <c:v>0.34597728132295202</c:v>
                </c:pt>
                <c:pt idx="4">
                  <c:v>0.33453159780242803</c:v>
                </c:pt>
                <c:pt idx="5">
                  <c:v>0.33240090059357302</c:v>
                </c:pt>
                <c:pt idx="6">
                  <c:v>0.322666709269259</c:v>
                </c:pt>
                <c:pt idx="7">
                  <c:v>0.32482224885702399</c:v>
                </c:pt>
                <c:pt idx="8">
                  <c:v>0.318445711957629</c:v>
                </c:pt>
                <c:pt idx="9">
                  <c:v>0.31</c:v>
                </c:pt>
                <c:pt idx="10">
                  <c:v>0.29105132774131859</c:v>
                </c:pt>
                <c:pt idx="11">
                  <c:v>0.28646952343895382</c:v>
                </c:pt>
                <c:pt idx="12">
                  <c:v>0.29256268593285167</c:v>
                </c:pt>
                <c:pt idx="13">
                  <c:v>0.28999999999999998</c:v>
                </c:pt>
              </c:numCache>
            </c:numRef>
          </c:val>
          <c:smooth val="0"/>
          <c:extLst>
            <c:ext xmlns:c16="http://schemas.microsoft.com/office/drawing/2014/chart" uri="{C3380CC4-5D6E-409C-BE32-E72D297353CC}">
              <c16:uniqueId val="{00000004-7474-4EDA-A8EB-80BD41071537}"/>
            </c:ext>
          </c:extLst>
        </c:ser>
        <c:ser>
          <c:idx val="2"/>
          <c:order val="2"/>
          <c:tx>
            <c:strRef>
              <c:f>'Ch5. PCT as filing route '!$A$38</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'!$D$38:$Q$38</c:f>
              <c:numCache>
                <c:formatCode>0%</c:formatCode>
                <c:ptCount val="14"/>
                <c:pt idx="0">
                  <c:v>0.18</c:v>
                </c:pt>
                <c:pt idx="1">
                  <c:v>0.18</c:v>
                </c:pt>
                <c:pt idx="2">
                  <c:v>0.2</c:v>
                </c:pt>
                <c:pt idx="3">
                  <c:v>0.19447319071004299</c:v>
                </c:pt>
                <c:pt idx="4">
                  <c:v>0.18657153911993299</c:v>
                </c:pt>
                <c:pt idx="5">
                  <c:v>0.18071936677520201</c:v>
                </c:pt>
                <c:pt idx="6">
                  <c:v>0.18</c:v>
                </c:pt>
                <c:pt idx="7">
                  <c:v>0.19438228743613301</c:v>
                </c:pt>
                <c:pt idx="8">
                  <c:v>0.18511266387698899</c:v>
                </c:pt>
                <c:pt idx="9">
                  <c:v>0.17</c:v>
                </c:pt>
                <c:pt idx="10">
                  <c:v>0.16749151189193598</c:v>
                </c:pt>
                <c:pt idx="11">
                  <c:v>0.16</c:v>
                </c:pt>
                <c:pt idx="12">
                  <c:v>0.173857507237556</c:v>
                </c:pt>
                <c:pt idx="13">
                  <c:v>0.18</c:v>
                </c:pt>
              </c:numCache>
            </c:numRef>
          </c:val>
          <c:smooth val="0"/>
          <c:extLst>
            <c:ext xmlns:c16="http://schemas.microsoft.com/office/drawing/2014/chart" uri="{C3380CC4-5D6E-409C-BE32-E72D297353CC}">
              <c16:uniqueId val="{00000005-7474-4EDA-A8EB-80BD41071537}"/>
            </c:ext>
          </c:extLst>
        </c:ser>
        <c:ser>
          <c:idx val="3"/>
          <c:order val="3"/>
          <c:tx>
            <c:strRef>
              <c:f>'Ch5. PCT as filing route '!$A$39</c:f>
              <c:strCache>
                <c:ptCount val="1"/>
                <c:pt idx="0">
                  <c:v>P.R. China</c:v>
                </c:pt>
              </c:strCache>
            </c:strRef>
          </c:tx>
          <c:spPr>
            <a:ln w="28575" cap="rnd">
              <a:solidFill>
                <a:srgbClr val="FFC000"/>
              </a:solidFill>
              <a:round/>
            </a:ln>
            <a:effectLst/>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74-4EDA-A8EB-80BD41071537}"/>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'!$D$39:$Q$39</c:f>
              <c:numCache>
                <c:formatCode>0%</c:formatCode>
                <c:ptCount val="14"/>
                <c:pt idx="0">
                  <c:v>0.33</c:v>
                </c:pt>
                <c:pt idx="1">
                  <c:v>0.39</c:v>
                </c:pt>
                <c:pt idx="2">
                  <c:v>0.43</c:v>
                </c:pt>
                <c:pt idx="3">
                  <c:v>0.41520258797876702</c:v>
                </c:pt>
                <c:pt idx="4">
                  <c:v>0.40703500745730897</c:v>
                </c:pt>
                <c:pt idx="5">
                  <c:v>0.409997064533905</c:v>
                </c:pt>
                <c:pt idx="6">
                  <c:v>0.4</c:v>
                </c:pt>
                <c:pt idx="7">
                  <c:v>0.40216226407605099</c:v>
                </c:pt>
                <c:pt idx="8">
                  <c:v>0.37753288638564803</c:v>
                </c:pt>
                <c:pt idx="9">
                  <c:v>0.36</c:v>
                </c:pt>
                <c:pt idx="10">
                  <c:v>0.36</c:v>
                </c:pt>
                <c:pt idx="11">
                  <c:v>0.34607802632355544</c:v>
                </c:pt>
                <c:pt idx="12">
                  <c:v>0.4</c:v>
                </c:pt>
                <c:pt idx="13">
                  <c:v>0.38</c:v>
                </c:pt>
              </c:numCache>
            </c:numRef>
          </c:val>
          <c:smooth val="0"/>
          <c:extLst>
            <c:ext xmlns:c16="http://schemas.microsoft.com/office/drawing/2014/chart" uri="{C3380CC4-5D6E-409C-BE32-E72D297353CC}">
              <c16:uniqueId val="{00000006-7474-4EDA-A8EB-80BD41071537}"/>
            </c:ext>
          </c:extLst>
        </c:ser>
        <c:ser>
          <c:idx val="4"/>
          <c:order val="4"/>
          <c:tx>
            <c:strRef>
              <c:f>'Ch5. PCT as filing route '!$A$40</c:f>
              <c:strCache>
                <c:ptCount val="1"/>
                <c:pt idx="0">
                  <c:v>U.S.</c:v>
                </c:pt>
              </c:strCache>
            </c:strRef>
          </c:tx>
          <c:spPr>
            <a:ln w="28575" cap="rnd">
              <a:solidFill>
                <a:srgbClr val="009900"/>
              </a:solidFill>
              <a:round/>
            </a:ln>
            <a:effectLst/>
          </c:spPr>
          <c:marker>
            <c:symbol val="none"/>
          </c:marker>
          <c:dLbls>
            <c:dLbl>
              <c:idx val="9"/>
              <c:layout>
                <c:manualLayout>
                  <c:x val="-2.9950613224310654E-2"/>
                  <c:y val="-2.54112378010154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74-4EDA-A8EB-80BD41071537}"/>
                </c:ext>
              </c:extLst>
            </c:dLbl>
            <c:dLbl>
              <c:idx val="10"/>
              <c:layout>
                <c:manualLayout>
                  <c:x val="-2.708040591963317E-2"/>
                  <c:y val="-1.9238974045470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74-4EDA-A8EB-80BD41071537}"/>
                </c:ext>
              </c:extLst>
            </c:dLbl>
            <c:dLbl>
              <c:idx val="11"/>
              <c:layout>
                <c:manualLayout>
                  <c:x val="-2.7080405919633066E-2"/>
                  <c:y val="-1.398598361521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74-4EDA-A8EB-80BD41071537}"/>
                </c:ext>
              </c:extLst>
            </c:dLbl>
            <c:dLbl>
              <c:idx val="12"/>
              <c:layout>
                <c:manualLayout>
                  <c:x val="-2.8515509571971964E-2"/>
                  <c:y val="-1.39859836152196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74-4EDA-A8EB-80BD41071537}"/>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'!$D$40:$Q$40</c:f>
              <c:numCache>
                <c:formatCode>0%</c:formatCode>
                <c:ptCount val="14"/>
                <c:pt idx="0">
                  <c:v>0.37</c:v>
                </c:pt>
                <c:pt idx="1">
                  <c:v>0.4</c:v>
                </c:pt>
                <c:pt idx="2">
                  <c:v>0.43</c:v>
                </c:pt>
                <c:pt idx="3">
                  <c:v>0.42172483938126698</c:v>
                </c:pt>
                <c:pt idx="4">
                  <c:v>0.40172030021363903</c:v>
                </c:pt>
                <c:pt idx="5">
                  <c:v>0.409452592737655</c:v>
                </c:pt>
                <c:pt idx="6">
                  <c:v>0.39295220884514898</c:v>
                </c:pt>
                <c:pt idx="7">
                  <c:v>0.41421589302106299</c:v>
                </c:pt>
                <c:pt idx="8">
                  <c:v>0.386475837619777</c:v>
                </c:pt>
                <c:pt idx="9">
                  <c:v>0.41</c:v>
                </c:pt>
                <c:pt idx="10">
                  <c:v>0.4</c:v>
                </c:pt>
                <c:pt idx="11">
                  <c:v>0.4</c:v>
                </c:pt>
                <c:pt idx="12">
                  <c:v>0.40662782283595139</c:v>
                </c:pt>
                <c:pt idx="13">
                  <c:v>0.4</c:v>
                </c:pt>
              </c:numCache>
            </c:numRef>
          </c:val>
          <c:smooth val="0"/>
          <c:extLst>
            <c:ext xmlns:c16="http://schemas.microsoft.com/office/drawing/2014/chart" uri="{C3380CC4-5D6E-409C-BE32-E72D297353CC}">
              <c16:uniqueId val="{00000007-7474-4EDA-A8EB-80BD41071537}"/>
            </c:ext>
          </c:extLst>
        </c:ser>
        <c:dLbls>
          <c:showLegendKey val="0"/>
          <c:showVal val="0"/>
          <c:showCatName val="0"/>
          <c:showSerName val="0"/>
          <c:showPercent val="0"/>
          <c:showBubbleSize val="0"/>
        </c:dLbls>
        <c:smooth val="0"/>
        <c:axId val="621907760"/>
        <c:axId val="621914816"/>
      </c:lineChart>
      <c:catAx>
        <c:axId val="62190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621914816"/>
        <c:crosses val="autoZero"/>
        <c:auto val="1"/>
        <c:lblAlgn val="ctr"/>
        <c:lblOffset val="100"/>
        <c:noMultiLvlLbl val="0"/>
      </c:catAx>
      <c:valAx>
        <c:axId val="621914816"/>
        <c:scaling>
          <c:orientation val="minMax"/>
        </c:scaling>
        <c:delete val="1"/>
        <c:axPos val="l"/>
        <c:numFmt formatCode="0%" sourceLinked="1"/>
        <c:majorTickMark val="none"/>
        <c:minorTickMark val="none"/>
        <c:tickLblPos val="nextTo"/>
        <c:crossAx val="62190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5.3 PROPORTIONS OF PCT APPLICATIONS IN GRANT PROCEDURE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521"/>
          <c:h val="0.848096681618974"/>
        </c:manualLayout>
      </c:layout>
      <c:lineChart>
        <c:grouping val="standard"/>
        <c:varyColors val="0"/>
        <c:ser>
          <c:idx val="0"/>
          <c:order val="0"/>
          <c:tx>
            <c:strRef>
              <c:f>'Ch5. PCT as filing route '!$A$65</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'!$D$65:$Q$65</c:f>
              <c:numCache>
                <c:formatCode>0%</c:formatCode>
                <c:ptCount val="14"/>
                <c:pt idx="0">
                  <c:v>0.57999999999999996</c:v>
                </c:pt>
                <c:pt idx="1">
                  <c:v>0.53</c:v>
                </c:pt>
                <c:pt idx="2">
                  <c:v>0.56000000000000005</c:v>
                </c:pt>
                <c:pt idx="3">
                  <c:v>0.57999999999999996</c:v>
                </c:pt>
                <c:pt idx="4">
                  <c:v>0.59</c:v>
                </c:pt>
                <c:pt idx="5">
                  <c:v>0.61</c:v>
                </c:pt>
                <c:pt idx="6">
                  <c:v>0.61</c:v>
                </c:pt>
                <c:pt idx="7">
                  <c:v>0.59</c:v>
                </c:pt>
                <c:pt idx="8">
                  <c:v>0.58885802282746502</c:v>
                </c:pt>
                <c:pt idx="9">
                  <c:v>0.59</c:v>
                </c:pt>
                <c:pt idx="10">
                  <c:v>0.58248349007199318</c:v>
                </c:pt>
                <c:pt idx="11">
                  <c:v>0.59</c:v>
                </c:pt>
                <c:pt idx="12">
                  <c:v>0.61012725344644747</c:v>
                </c:pt>
                <c:pt idx="13">
                  <c:v>0.62</c:v>
                </c:pt>
              </c:numCache>
            </c:numRef>
          </c:val>
          <c:smooth val="0"/>
          <c:extLst>
            <c:ext xmlns:c16="http://schemas.microsoft.com/office/drawing/2014/chart" uri="{C3380CC4-5D6E-409C-BE32-E72D297353CC}">
              <c16:uniqueId val="{00000000-58C1-4A29-A0C2-24B166C579F2}"/>
            </c:ext>
          </c:extLst>
        </c:ser>
        <c:ser>
          <c:idx val="1"/>
          <c:order val="1"/>
          <c:tx>
            <c:strRef>
              <c:f>'Ch5. PCT as filing route '!$A$66</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'!$D$66:$Q$66</c:f>
              <c:numCache>
                <c:formatCode>0%</c:formatCode>
                <c:ptCount val="14"/>
                <c:pt idx="0">
                  <c:v>0.14000000000000001</c:v>
                </c:pt>
                <c:pt idx="1">
                  <c:v>0.14000000000000001</c:v>
                </c:pt>
                <c:pt idx="2">
                  <c:v>0.15</c:v>
                </c:pt>
                <c:pt idx="3">
                  <c:v>0.15</c:v>
                </c:pt>
                <c:pt idx="4">
                  <c:v>0.17</c:v>
                </c:pt>
                <c:pt idx="5">
                  <c:v>0.18</c:v>
                </c:pt>
                <c:pt idx="6">
                  <c:v>0.19</c:v>
                </c:pt>
                <c:pt idx="7">
                  <c:v>0.2</c:v>
                </c:pt>
                <c:pt idx="8">
                  <c:v>0.196339476072206</c:v>
                </c:pt>
                <c:pt idx="9">
                  <c:v>0.2</c:v>
                </c:pt>
                <c:pt idx="10">
                  <c:v>0.21745045767593491</c:v>
                </c:pt>
                <c:pt idx="11">
                  <c:v>0.23</c:v>
                </c:pt>
                <c:pt idx="12">
                  <c:v>0.24993775933609957</c:v>
                </c:pt>
                <c:pt idx="13">
                  <c:v>0.26</c:v>
                </c:pt>
              </c:numCache>
            </c:numRef>
          </c:val>
          <c:smooth val="0"/>
          <c:extLst>
            <c:ext xmlns:c16="http://schemas.microsoft.com/office/drawing/2014/chart" uri="{C3380CC4-5D6E-409C-BE32-E72D297353CC}">
              <c16:uniqueId val="{00000001-58C1-4A29-A0C2-24B166C579F2}"/>
            </c:ext>
          </c:extLst>
        </c:ser>
        <c:ser>
          <c:idx val="2"/>
          <c:order val="2"/>
          <c:tx>
            <c:strRef>
              <c:f>'Ch5. PCT as filing route '!$A$67</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'!$D$67:$Q$67</c:f>
              <c:numCache>
                <c:formatCode>0%</c:formatCode>
                <c:ptCount val="14"/>
                <c:pt idx="0">
                  <c:v>0.17</c:v>
                </c:pt>
                <c:pt idx="1">
                  <c:v>0.16</c:v>
                </c:pt>
                <c:pt idx="2">
                  <c:v>0.16</c:v>
                </c:pt>
                <c:pt idx="3">
                  <c:v>0.17</c:v>
                </c:pt>
                <c:pt idx="4">
                  <c:v>0.16</c:v>
                </c:pt>
                <c:pt idx="5">
                  <c:v>0.16</c:v>
                </c:pt>
                <c:pt idx="6">
                  <c:v>0.17</c:v>
                </c:pt>
                <c:pt idx="7">
                  <c:v>0.18</c:v>
                </c:pt>
                <c:pt idx="8">
                  <c:v>0.18189720424856601</c:v>
                </c:pt>
                <c:pt idx="9">
                  <c:v>0.18</c:v>
                </c:pt>
                <c:pt idx="10">
                  <c:v>0.18</c:v>
                </c:pt>
                <c:pt idx="11">
                  <c:v>0.17</c:v>
                </c:pt>
                <c:pt idx="12">
                  <c:v>0.18243430617064008</c:v>
                </c:pt>
                <c:pt idx="13">
                  <c:v>0.2</c:v>
                </c:pt>
              </c:numCache>
            </c:numRef>
          </c:val>
          <c:smooth val="0"/>
          <c:extLst>
            <c:ext xmlns:c16="http://schemas.microsoft.com/office/drawing/2014/chart" uri="{C3380CC4-5D6E-409C-BE32-E72D297353CC}">
              <c16:uniqueId val="{00000002-58C1-4A29-A0C2-24B166C579F2}"/>
            </c:ext>
          </c:extLst>
        </c:ser>
        <c:ser>
          <c:idx val="3"/>
          <c:order val="3"/>
          <c:tx>
            <c:strRef>
              <c:f>'Ch5. PCT as filing route '!$A$68</c:f>
              <c:strCache>
                <c:ptCount val="1"/>
                <c:pt idx="0">
                  <c:v>P.R. China</c:v>
                </c:pt>
              </c:strCache>
            </c:strRef>
          </c:tx>
          <c:spPr>
            <a:ln w="28575"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'!$D$68:$Q$68</c:f>
              <c:numCache>
                <c:formatCode>0%</c:formatCode>
                <c:ptCount val="14"/>
                <c:pt idx="0">
                  <c:v>0.17</c:v>
                </c:pt>
                <c:pt idx="1">
                  <c:v>0.16</c:v>
                </c:pt>
                <c:pt idx="2">
                  <c:v>0.13</c:v>
                </c:pt>
                <c:pt idx="3">
                  <c:v>0.11</c:v>
                </c:pt>
                <c:pt idx="4">
                  <c:v>0.09</c:v>
                </c:pt>
                <c:pt idx="5">
                  <c:v>0.09</c:v>
                </c:pt>
                <c:pt idx="6">
                  <c:v>7.0000000000000007E-2</c:v>
                </c:pt>
                <c:pt idx="7">
                  <c:v>0.06</c:v>
                </c:pt>
                <c:pt idx="8">
                  <c:v>5.8122719120088803E-2</c:v>
                </c:pt>
                <c:pt idx="9">
                  <c:v>0.05</c:v>
                </c:pt>
                <c:pt idx="10">
                  <c:v>0.06</c:v>
                </c:pt>
                <c:pt idx="11">
                  <c:v>0.06</c:v>
                </c:pt>
                <c:pt idx="12">
                  <c:v>7.0000000000000007E-2</c:v>
                </c:pt>
                <c:pt idx="13">
                  <c:v>0.06</c:v>
                </c:pt>
              </c:numCache>
            </c:numRef>
          </c:val>
          <c:smooth val="0"/>
          <c:extLst>
            <c:ext xmlns:c16="http://schemas.microsoft.com/office/drawing/2014/chart" uri="{C3380CC4-5D6E-409C-BE32-E72D297353CC}">
              <c16:uniqueId val="{00000004-58C1-4A29-A0C2-24B166C579F2}"/>
            </c:ext>
          </c:extLst>
        </c:ser>
        <c:ser>
          <c:idx val="4"/>
          <c:order val="4"/>
          <c:tx>
            <c:strRef>
              <c:f>'Ch5. PCT as filing route '!$A$69</c:f>
              <c:strCache>
                <c:ptCount val="1"/>
                <c:pt idx="0">
                  <c:v>U.S.</c:v>
                </c:pt>
              </c:strCache>
            </c:strRef>
          </c:tx>
          <c:spPr>
            <a:ln w="2857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'!$D$69:$Q$69</c:f>
              <c:numCache>
                <c:formatCode>0%</c:formatCode>
                <c:ptCount val="14"/>
                <c:pt idx="0">
                  <c:v>0.13</c:v>
                </c:pt>
                <c:pt idx="1">
                  <c:v>0.13</c:v>
                </c:pt>
                <c:pt idx="2">
                  <c:v>0.13</c:v>
                </c:pt>
                <c:pt idx="3">
                  <c:v>0.13</c:v>
                </c:pt>
                <c:pt idx="4">
                  <c:v>0.13</c:v>
                </c:pt>
                <c:pt idx="5">
                  <c:v>0.14000000000000001</c:v>
                </c:pt>
                <c:pt idx="6">
                  <c:v>0.14000000000000001</c:v>
                </c:pt>
                <c:pt idx="7">
                  <c:v>0.14000000000000001</c:v>
                </c:pt>
                <c:pt idx="8">
                  <c:v>0.135426620710562</c:v>
                </c:pt>
                <c:pt idx="9">
                  <c:v>0.16</c:v>
                </c:pt>
                <c:pt idx="10">
                  <c:v>0.15</c:v>
                </c:pt>
                <c:pt idx="11">
                  <c:v>0.17</c:v>
                </c:pt>
                <c:pt idx="12">
                  <c:v>0.18241345788072191</c:v>
                </c:pt>
                <c:pt idx="13">
                  <c:v>0.19</c:v>
                </c:pt>
              </c:numCache>
            </c:numRef>
          </c:val>
          <c:smooth val="0"/>
          <c:extLst>
            <c:ext xmlns:c16="http://schemas.microsoft.com/office/drawing/2014/chart" uri="{C3380CC4-5D6E-409C-BE32-E72D297353CC}">
              <c16:uniqueId val="{00000009-58C1-4A29-A0C2-24B166C579F2}"/>
            </c:ext>
          </c:extLst>
        </c:ser>
        <c:dLbls>
          <c:showLegendKey val="0"/>
          <c:showVal val="0"/>
          <c:showCatName val="0"/>
          <c:showSerName val="0"/>
          <c:showPercent val="0"/>
          <c:showBubbleSize val="0"/>
        </c:dLbls>
        <c:smooth val="0"/>
        <c:axId val="621907760"/>
        <c:axId val="621914816"/>
      </c:lineChart>
      <c:catAx>
        <c:axId val="62190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621914816"/>
        <c:crosses val="autoZero"/>
        <c:auto val="1"/>
        <c:lblAlgn val="ctr"/>
        <c:lblOffset val="100"/>
        <c:noMultiLvlLbl val="0"/>
      </c:catAx>
      <c:valAx>
        <c:axId val="621914816"/>
        <c:scaling>
          <c:orientation val="minMax"/>
        </c:scaling>
        <c:delete val="1"/>
        <c:axPos val="l"/>
        <c:numFmt formatCode="0%" sourceLinked="1"/>
        <c:majorTickMark val="none"/>
        <c:minorTickMark val="none"/>
        <c:tickLblPos val="nextTo"/>
        <c:crossAx val="62190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5.4 PROPORTIONS OF PCT AMONG GRANTED PATENTS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0.10753450480534879"/>
          <c:w val="0.89072284588964268"/>
          <c:h val="0.76142241053940141"/>
        </c:manualLayout>
      </c:layout>
      <c:lineChart>
        <c:grouping val="standard"/>
        <c:varyColors val="0"/>
        <c:ser>
          <c:idx val="0"/>
          <c:order val="0"/>
          <c:tx>
            <c:strRef>
              <c:f>'Ch5. PCT as filing route '!$A$94</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'!$D$94:$Q$94</c:f>
              <c:numCache>
                <c:formatCode>0%</c:formatCode>
                <c:ptCount val="14"/>
                <c:pt idx="0">
                  <c:v>0.53</c:v>
                </c:pt>
                <c:pt idx="1">
                  <c:v>0.56000000000000005</c:v>
                </c:pt>
                <c:pt idx="2">
                  <c:v>0.56999999999999995</c:v>
                </c:pt>
                <c:pt idx="3">
                  <c:v>0.56000000000000005</c:v>
                </c:pt>
                <c:pt idx="4">
                  <c:v>0.57999999999999996</c:v>
                </c:pt>
                <c:pt idx="5">
                  <c:v>0.6</c:v>
                </c:pt>
                <c:pt idx="6">
                  <c:v>0.62</c:v>
                </c:pt>
                <c:pt idx="7">
                  <c:v>0.64</c:v>
                </c:pt>
                <c:pt idx="8">
                  <c:v>0.64286458086808396</c:v>
                </c:pt>
                <c:pt idx="9">
                  <c:v>0.65</c:v>
                </c:pt>
                <c:pt idx="10">
                  <c:v>0.65</c:v>
                </c:pt>
                <c:pt idx="11">
                  <c:v>0.64</c:v>
                </c:pt>
                <c:pt idx="12">
                  <c:v>0.63646724694160794</c:v>
                </c:pt>
                <c:pt idx="13">
                  <c:v>0.63</c:v>
                </c:pt>
              </c:numCache>
            </c:numRef>
          </c:val>
          <c:smooth val="0"/>
          <c:extLst>
            <c:ext xmlns:c16="http://schemas.microsoft.com/office/drawing/2014/chart" uri="{C3380CC4-5D6E-409C-BE32-E72D297353CC}">
              <c16:uniqueId val="{00000000-4695-4766-A28E-43D85DC3CEB5}"/>
            </c:ext>
          </c:extLst>
        </c:ser>
        <c:ser>
          <c:idx val="1"/>
          <c:order val="1"/>
          <c:tx>
            <c:strRef>
              <c:f>'Ch5. PCT as filing route '!$A$95</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'!$D$95:$Q$95</c:f>
              <c:numCache>
                <c:formatCode>0%</c:formatCode>
                <c:ptCount val="14"/>
                <c:pt idx="0">
                  <c:v>0.12</c:v>
                </c:pt>
                <c:pt idx="1">
                  <c:v>0.14000000000000001</c:v>
                </c:pt>
                <c:pt idx="2">
                  <c:v>0.16</c:v>
                </c:pt>
                <c:pt idx="3">
                  <c:v>0.18</c:v>
                </c:pt>
                <c:pt idx="4">
                  <c:v>0.2</c:v>
                </c:pt>
                <c:pt idx="5">
                  <c:v>0.22</c:v>
                </c:pt>
                <c:pt idx="6">
                  <c:v>0.24</c:v>
                </c:pt>
                <c:pt idx="7">
                  <c:v>0.23</c:v>
                </c:pt>
                <c:pt idx="8">
                  <c:v>0.23612440311258301</c:v>
                </c:pt>
                <c:pt idx="9">
                  <c:v>0.24</c:v>
                </c:pt>
                <c:pt idx="10">
                  <c:v>0.25061419598688234</c:v>
                </c:pt>
                <c:pt idx="11">
                  <c:v>0.26195347385203727</c:v>
                </c:pt>
                <c:pt idx="12">
                  <c:v>0.26793113921853645</c:v>
                </c:pt>
                <c:pt idx="13">
                  <c:v>0.28000000000000003</c:v>
                </c:pt>
              </c:numCache>
            </c:numRef>
          </c:val>
          <c:smooth val="0"/>
          <c:extLst>
            <c:ext xmlns:c16="http://schemas.microsoft.com/office/drawing/2014/chart" uri="{C3380CC4-5D6E-409C-BE32-E72D297353CC}">
              <c16:uniqueId val="{00000001-4695-4766-A28E-43D85DC3CEB5}"/>
            </c:ext>
          </c:extLst>
        </c:ser>
        <c:ser>
          <c:idx val="2"/>
          <c:order val="2"/>
          <c:tx>
            <c:strRef>
              <c:f>'Ch5. PCT as filing route '!$A$96</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'!$D$96:$Q$96</c:f>
              <c:numCache>
                <c:formatCode>0%</c:formatCode>
                <c:ptCount val="14"/>
                <c:pt idx="0">
                  <c:v>0.17</c:v>
                </c:pt>
                <c:pt idx="1">
                  <c:v>0.17</c:v>
                </c:pt>
                <c:pt idx="2">
                  <c:v>0.17</c:v>
                </c:pt>
                <c:pt idx="3">
                  <c:v>0.19</c:v>
                </c:pt>
                <c:pt idx="4">
                  <c:v>0.19</c:v>
                </c:pt>
                <c:pt idx="5">
                  <c:v>0.19</c:v>
                </c:pt>
                <c:pt idx="6">
                  <c:v>0.2</c:v>
                </c:pt>
                <c:pt idx="7">
                  <c:v>0.19</c:v>
                </c:pt>
                <c:pt idx="8">
                  <c:v>0.19746896288806801</c:v>
                </c:pt>
                <c:pt idx="9">
                  <c:v>0.2</c:v>
                </c:pt>
                <c:pt idx="10">
                  <c:v>0.2</c:v>
                </c:pt>
                <c:pt idx="11">
                  <c:v>0.19</c:v>
                </c:pt>
                <c:pt idx="12">
                  <c:v>0.2</c:v>
                </c:pt>
                <c:pt idx="13">
                  <c:v>0.22</c:v>
                </c:pt>
              </c:numCache>
            </c:numRef>
          </c:val>
          <c:smooth val="0"/>
          <c:extLst>
            <c:ext xmlns:c16="http://schemas.microsoft.com/office/drawing/2014/chart" uri="{C3380CC4-5D6E-409C-BE32-E72D297353CC}">
              <c16:uniqueId val="{00000002-4695-4766-A28E-43D85DC3CEB5}"/>
            </c:ext>
          </c:extLst>
        </c:ser>
        <c:ser>
          <c:idx val="3"/>
          <c:order val="3"/>
          <c:tx>
            <c:strRef>
              <c:f>'Ch5. PCT as filing route '!$A$97</c:f>
              <c:strCache>
                <c:ptCount val="1"/>
                <c:pt idx="0">
                  <c:v>P.R. China</c:v>
                </c:pt>
              </c:strCache>
            </c:strRef>
          </c:tx>
          <c:spPr>
            <a:ln w="28575"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'!$D$97:$Q$97</c:f>
              <c:numCache>
                <c:formatCode>0%</c:formatCode>
                <c:ptCount val="14"/>
                <c:pt idx="0">
                  <c:v>0.25</c:v>
                </c:pt>
                <c:pt idx="1">
                  <c:v>0.22</c:v>
                </c:pt>
                <c:pt idx="2">
                  <c:v>0.2</c:v>
                </c:pt>
                <c:pt idx="3">
                  <c:v>0.2</c:v>
                </c:pt>
                <c:pt idx="4">
                  <c:v>0.2</c:v>
                </c:pt>
                <c:pt idx="5">
                  <c:v>0.2</c:v>
                </c:pt>
                <c:pt idx="6">
                  <c:v>0.17</c:v>
                </c:pt>
                <c:pt idx="7">
                  <c:v>0.17</c:v>
                </c:pt>
                <c:pt idx="8">
                  <c:v>0.140256673902281</c:v>
                </c:pt>
                <c:pt idx="9">
                  <c:v>0.12</c:v>
                </c:pt>
                <c:pt idx="10">
                  <c:v>0.12</c:v>
                </c:pt>
                <c:pt idx="11">
                  <c:v>0.11</c:v>
                </c:pt>
                <c:pt idx="12">
                  <c:v>0.10318185606354516</c:v>
                </c:pt>
                <c:pt idx="13">
                  <c:v>0.09</c:v>
                </c:pt>
              </c:numCache>
            </c:numRef>
          </c:val>
          <c:smooth val="0"/>
          <c:extLst>
            <c:ext xmlns:c16="http://schemas.microsoft.com/office/drawing/2014/chart" uri="{C3380CC4-5D6E-409C-BE32-E72D297353CC}">
              <c16:uniqueId val="{00000003-4695-4766-A28E-43D85DC3CEB5}"/>
            </c:ext>
          </c:extLst>
        </c:ser>
        <c:ser>
          <c:idx val="4"/>
          <c:order val="4"/>
          <c:tx>
            <c:strRef>
              <c:f>'Ch5. PCT as filing route '!$A$98</c:f>
              <c:strCache>
                <c:ptCount val="1"/>
                <c:pt idx="0">
                  <c:v>U.S.</c:v>
                </c:pt>
              </c:strCache>
            </c:strRef>
          </c:tx>
          <c:spPr>
            <a:ln w="2857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'!$D$35:$Q$35</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as filing route '!$D$98:$Q$98</c:f>
              <c:numCache>
                <c:formatCode>0%</c:formatCode>
                <c:ptCount val="14"/>
                <c:pt idx="0">
                  <c:v>0.11</c:v>
                </c:pt>
                <c:pt idx="1">
                  <c:v>0.13</c:v>
                </c:pt>
                <c:pt idx="2">
                  <c:v>0.14000000000000001</c:v>
                </c:pt>
                <c:pt idx="3">
                  <c:v>0.16</c:v>
                </c:pt>
                <c:pt idx="4">
                  <c:v>0.17</c:v>
                </c:pt>
                <c:pt idx="5">
                  <c:v>0.18</c:v>
                </c:pt>
                <c:pt idx="6">
                  <c:v>0.19</c:v>
                </c:pt>
                <c:pt idx="7">
                  <c:v>0.19</c:v>
                </c:pt>
                <c:pt idx="8">
                  <c:v>0.20003826502607999</c:v>
                </c:pt>
                <c:pt idx="9">
                  <c:v>0.2</c:v>
                </c:pt>
                <c:pt idx="10">
                  <c:v>0.21</c:v>
                </c:pt>
                <c:pt idx="11">
                  <c:v>0.2</c:v>
                </c:pt>
                <c:pt idx="12">
                  <c:v>0.21</c:v>
                </c:pt>
                <c:pt idx="13">
                  <c:v>0.23</c:v>
                </c:pt>
              </c:numCache>
            </c:numRef>
          </c:val>
          <c:smooth val="0"/>
          <c:extLst>
            <c:ext xmlns:c16="http://schemas.microsoft.com/office/drawing/2014/chart" uri="{C3380CC4-5D6E-409C-BE32-E72D297353CC}">
              <c16:uniqueId val="{00000004-4695-4766-A28E-43D85DC3CEB5}"/>
            </c:ext>
          </c:extLst>
        </c:ser>
        <c:dLbls>
          <c:showLegendKey val="0"/>
          <c:showVal val="0"/>
          <c:showCatName val="0"/>
          <c:showSerName val="0"/>
          <c:showPercent val="0"/>
          <c:showBubbleSize val="0"/>
        </c:dLbls>
        <c:smooth val="0"/>
        <c:axId val="621907760"/>
        <c:axId val="621914816"/>
      </c:lineChart>
      <c:catAx>
        <c:axId val="62190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621914816"/>
        <c:crosses val="autoZero"/>
        <c:auto val="1"/>
        <c:lblAlgn val="ctr"/>
        <c:lblOffset val="100"/>
        <c:noMultiLvlLbl val="0"/>
      </c:catAx>
      <c:valAx>
        <c:axId val="621914816"/>
        <c:scaling>
          <c:orientation val="minMax"/>
        </c:scaling>
        <c:delete val="1"/>
        <c:axPos val="l"/>
        <c:numFmt formatCode="0%" sourceLinked="1"/>
        <c:majorTickMark val="out"/>
        <c:minorTickMark val="none"/>
        <c:tickLblPos val="nextTo"/>
        <c:crossAx val="62190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2015</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A527-4775-ACA7-81CE67C405D7}"/>
              </c:ext>
            </c:extLst>
          </c:dPt>
          <c:dPt>
            <c:idx val="1"/>
            <c:bubble3D val="0"/>
            <c:spPr>
              <a:solidFill>
                <a:srgbClr val="FF0000"/>
              </a:solidFill>
              <a:ln>
                <a:solidFill>
                  <a:schemeClr val="bg1"/>
                </a:solidFill>
              </a:ln>
            </c:spPr>
            <c:extLst>
              <c:ext xmlns:c16="http://schemas.microsoft.com/office/drawing/2014/chart" uri="{C3380CC4-5D6E-409C-BE32-E72D297353CC}">
                <c16:uniqueId val="{00000003-A527-4775-ACA7-81CE67C405D7}"/>
              </c:ext>
            </c:extLst>
          </c:dPt>
          <c:dPt>
            <c:idx val="2"/>
            <c:bubble3D val="0"/>
            <c:spPr>
              <a:solidFill>
                <a:srgbClr val="7030A0"/>
              </a:solidFill>
              <a:ln>
                <a:solidFill>
                  <a:schemeClr val="bg1"/>
                </a:solidFill>
              </a:ln>
            </c:spPr>
            <c:extLst>
              <c:ext xmlns:c16="http://schemas.microsoft.com/office/drawing/2014/chart" uri="{C3380CC4-5D6E-409C-BE32-E72D297353CC}">
                <c16:uniqueId val="{00000005-A527-4775-ACA7-81CE67C405D7}"/>
              </c:ext>
            </c:extLst>
          </c:dPt>
          <c:dPt>
            <c:idx val="3"/>
            <c:bubble3D val="0"/>
            <c:spPr>
              <a:solidFill>
                <a:srgbClr val="FFC000"/>
              </a:solidFill>
              <a:ln>
                <a:solidFill>
                  <a:schemeClr val="bg1"/>
                </a:solidFill>
              </a:ln>
            </c:spPr>
            <c:extLst>
              <c:ext xmlns:c16="http://schemas.microsoft.com/office/drawing/2014/chart" uri="{C3380CC4-5D6E-409C-BE32-E72D297353CC}">
                <c16:uniqueId val="{00000007-A527-4775-ACA7-81CE67C405D7}"/>
              </c:ext>
            </c:extLst>
          </c:dPt>
          <c:dPt>
            <c:idx val="4"/>
            <c:bubble3D val="0"/>
            <c:spPr>
              <a:solidFill>
                <a:srgbClr val="008000"/>
              </a:solidFill>
              <a:ln>
                <a:solidFill>
                  <a:schemeClr val="bg1"/>
                </a:solidFill>
              </a:ln>
            </c:spPr>
            <c:extLst>
              <c:ext xmlns:c16="http://schemas.microsoft.com/office/drawing/2014/chart" uri="{C3380CC4-5D6E-409C-BE32-E72D297353CC}">
                <c16:uniqueId val="{00000009-A527-4775-ACA7-81CE67C405D7}"/>
              </c:ext>
            </c:extLst>
          </c:dPt>
          <c:dPt>
            <c:idx val="5"/>
            <c:bubble3D val="0"/>
            <c:spPr>
              <a:solidFill>
                <a:schemeClr val="accent2"/>
              </a:solidFill>
              <a:ln>
                <a:solidFill>
                  <a:schemeClr val="bg1"/>
                </a:solidFill>
              </a:ln>
            </c:spPr>
            <c:extLst>
              <c:ext xmlns:c16="http://schemas.microsoft.com/office/drawing/2014/chart" uri="{C3380CC4-5D6E-409C-BE32-E72D297353CC}">
                <c16:uniqueId val="{0000000B-A527-4775-ACA7-81CE67C405D7}"/>
              </c:ext>
            </c:extLst>
          </c:dPt>
          <c:dLbls>
            <c:dLbl>
              <c:idx val="0"/>
              <c:layout>
                <c:manualLayout>
                  <c:x val="-0.20545740873299936"/>
                  <c:y val="0.2256091332693403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723232323232322"/>
                      <c:h val="0.28706765691402547"/>
                    </c:manualLayout>
                  </c15:layout>
                </c:ext>
                <c:ext xmlns:c16="http://schemas.microsoft.com/office/drawing/2014/chart" uri="{C3380CC4-5D6E-409C-BE32-E72D297353CC}">
                  <c16:uniqueId val="{00000001-A527-4775-ACA7-81CE67C405D7}"/>
                </c:ext>
              </c:extLst>
            </c:dLbl>
            <c:dLbl>
              <c:idx val="3"/>
              <c:layout>
                <c:manualLayout>
                  <c:x val="0.17376886980036588"/>
                  <c:y val="-4.9660750380139521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933333333333333"/>
                      <c:h val="0.28706765691402547"/>
                    </c:manualLayout>
                  </c15:layout>
                </c:ext>
                <c:ext xmlns:c16="http://schemas.microsoft.com/office/drawing/2014/chart" uri="{C3380CC4-5D6E-409C-BE32-E72D297353CC}">
                  <c16:uniqueId val="{00000007-A527-4775-ACA7-81CE67C405D7}"/>
                </c:ext>
              </c:extLst>
            </c:dLbl>
            <c:dLbl>
              <c:idx val="5"/>
              <c:layout>
                <c:manualLayout>
                  <c:x val="0.15748063310268035"/>
                  <c:y val="0.1265739252262066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050505050505051"/>
                      <c:h val="0.23210944405079867"/>
                    </c:manualLayout>
                  </c15:layout>
                </c:ext>
                <c:ext xmlns:c16="http://schemas.microsoft.com/office/drawing/2014/chart" uri="{C3380CC4-5D6E-409C-BE32-E72D297353CC}">
                  <c16:uniqueId val="{0000000B-A527-4775-ACA7-81CE67C405D7}"/>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Patents-in-Force'!$P$8:$P$13</c:f>
              <c:numCache>
                <c:formatCode>#,##0</c:formatCode>
                <c:ptCount val="6"/>
                <c:pt idx="0">
                  <c:v>2493883</c:v>
                </c:pt>
                <c:pt idx="1">
                  <c:v>1946568</c:v>
                </c:pt>
                <c:pt idx="2">
                  <c:v>912442</c:v>
                </c:pt>
                <c:pt idx="3">
                  <c:v>1472374</c:v>
                </c:pt>
                <c:pt idx="4">
                  <c:v>2644697</c:v>
                </c:pt>
                <c:pt idx="5">
                  <c:v>1056861</c:v>
                </c:pt>
              </c:numCache>
            </c:numRef>
          </c:val>
          <c:extLst>
            <c:ext xmlns:c16="http://schemas.microsoft.com/office/drawing/2014/chart" uri="{C3380CC4-5D6E-409C-BE32-E72D297353CC}">
              <c16:uniqueId val="{0000000C-A527-4775-ACA7-81CE67C405D7}"/>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A527-4775-ACA7-81CE67C405D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A527-4775-ACA7-81CE67C405D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A527-4775-ACA7-81CE67C405D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A527-4775-ACA7-81CE67C405D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A527-4775-ACA7-81CE67C405D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A527-4775-ACA7-81CE67C405D7}"/>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A527-4775-ACA7-81CE67C405D7}"/>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5.6 PROPORTIONS OF PCT IN IP5 PATENT FAMILIES BY ORIGIN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0.13379945695660347"/>
          <c:w val="0.88785263858496521"/>
          <c:h val="0.72202498231251944"/>
        </c:manualLayout>
      </c:layout>
      <c:lineChart>
        <c:grouping val="standard"/>
        <c:varyColors val="0"/>
        <c:ser>
          <c:idx val="0"/>
          <c:order val="0"/>
          <c:tx>
            <c:strRef>
              <c:f>'Ch5. PCT as filing route '!$A$123</c:f>
              <c:strCache>
                <c:ptCount val="1"/>
                <c:pt idx="0">
                  <c:v>EPC states</c:v>
                </c:pt>
              </c:strCache>
            </c:strRef>
          </c:tx>
          <c:spPr>
            <a:ln w="28575" cap="rnd">
              <a:solidFill>
                <a:schemeClr val="accent1"/>
              </a:solidFill>
              <a:round/>
            </a:ln>
            <a:effectLst/>
          </c:spPr>
          <c:marker>
            <c:symbol val="none"/>
          </c:marker>
          <c:dLbls>
            <c:dLbl>
              <c:idx val="0"/>
              <c:layout>
                <c:manualLayout>
                  <c:x val="-2.7080405919633066E-2"/>
                  <c:y val="1.05059808605018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F81-4EA1-ADA4-0EE8C89B38B2}"/>
                </c:ext>
              </c:extLst>
            </c:dLbl>
            <c:dLbl>
              <c:idx val="1"/>
              <c:layout>
                <c:manualLayout>
                  <c:x val="-2.7080405919633066E-2"/>
                  <c:y val="-7.879485645376407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F81-4EA1-ADA4-0EE8C89B38B2}"/>
                </c:ext>
              </c:extLst>
            </c:dLbl>
            <c:dLbl>
              <c:idx val="2"/>
              <c:layout>
                <c:manualLayout>
                  <c:x val="-2.851550957197186E-2"/>
                  <c:y val="-1.83854665058783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F81-4EA1-ADA4-0EE8C89B38B2}"/>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F81-4EA1-ADA4-0EE8C89B38B2}"/>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F81-4EA1-ADA4-0EE8C89B38B2}"/>
                </c:ext>
              </c:extLst>
            </c:dLbl>
            <c:dLbl>
              <c:idx val="6"/>
              <c:layout>
                <c:manualLayout>
                  <c:x val="-2.7080405919633066E-2"/>
                  <c:y val="-1.05059808605018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F81-4EA1-ADA4-0EE8C89B38B2}"/>
                </c:ext>
              </c:extLst>
            </c:dLbl>
            <c:dLbl>
              <c:idx val="8"/>
              <c:layout>
                <c:manualLayout>
                  <c:x val="-2.7080405919633066E-2"/>
                  <c:y val="-1.05059808605019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F81-4EA1-ADA4-0EE8C89B38B2}"/>
                </c:ext>
              </c:extLst>
            </c:dLbl>
            <c:dLbl>
              <c:idx val="9"/>
              <c:layout>
                <c:manualLayout>
                  <c:x val="-2.851550957197186E-2"/>
                  <c:y val="-1.57589712907528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F81-4EA1-ADA4-0EE8C89B38B2}"/>
                </c:ext>
              </c:extLst>
            </c:dLbl>
            <c:dLbl>
              <c:idx val="10"/>
              <c:layout>
                <c:manualLayout>
                  <c:x val="-2.851550957197186E-2"/>
                  <c:y val="-2.36384569361292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'!$F$123:$Q$123</c:f>
              <c:numCache>
                <c:formatCode>0%</c:formatCode>
                <c:ptCount val="12"/>
                <c:pt idx="0">
                  <c:v>0.90509868421052631</c:v>
                </c:pt>
                <c:pt idx="1">
                  <c:v>0.923927664026304</c:v>
                </c:pt>
                <c:pt idx="2">
                  <c:v>0.92701141327321401</c:v>
                </c:pt>
                <c:pt idx="3">
                  <c:v>0.91365920511649157</c:v>
                </c:pt>
                <c:pt idx="4">
                  <c:v>0.91704579921140428</c:v>
                </c:pt>
                <c:pt idx="5">
                  <c:v>0.83913111915630412</c:v>
                </c:pt>
                <c:pt idx="6">
                  <c:v>0.86698376250615061</c:v>
                </c:pt>
                <c:pt idx="7">
                  <c:v>0.86710334788937404</c:v>
                </c:pt>
                <c:pt idx="8">
                  <c:v>0.86671459381739757</c:v>
                </c:pt>
                <c:pt idx="9">
                  <c:v>0.86257514329651896</c:v>
                </c:pt>
                <c:pt idx="10">
                  <c:v>0.84181710565255996</c:v>
                </c:pt>
                <c:pt idx="11">
                  <c:v>0.86</c:v>
                </c:pt>
              </c:numCache>
            </c:numRef>
          </c:val>
          <c:smooth val="0"/>
          <c:extLst>
            <c:ext xmlns:c16="http://schemas.microsoft.com/office/drawing/2014/chart" uri="{C3380CC4-5D6E-409C-BE32-E72D297353CC}">
              <c16:uniqueId val="{00000000-5F81-4EA1-ADA4-0EE8C89B38B2}"/>
            </c:ext>
          </c:extLst>
        </c:ser>
        <c:ser>
          <c:idx val="1"/>
          <c:order val="1"/>
          <c:tx>
            <c:strRef>
              <c:f>'Ch5. PCT as filing route '!$A$124</c:f>
              <c:strCache>
                <c:ptCount val="1"/>
                <c:pt idx="0">
                  <c:v>Japan</c:v>
                </c:pt>
              </c:strCache>
            </c:strRef>
          </c:tx>
          <c:spPr>
            <a:ln w="28575" cap="rnd">
              <a:solidFill>
                <a:srgbClr val="FF0000"/>
              </a:solidFill>
              <a:round/>
            </a:ln>
            <a:effectLst/>
          </c:spPr>
          <c:marker>
            <c:symbol val="none"/>
          </c:marker>
          <c:dLbls>
            <c:dLbl>
              <c:idx val="10"/>
              <c:layout>
                <c:manualLayout>
                  <c:x val="-2.7080405919632962E-2"/>
                  <c:y val="1.66126856409919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'!$F$124:$Q$124</c:f>
              <c:numCache>
                <c:formatCode>0%</c:formatCode>
                <c:ptCount val="12"/>
                <c:pt idx="0">
                  <c:v>0.72397533550961191</c:v>
                </c:pt>
                <c:pt idx="1">
                  <c:v>0.80061664953751288</c:v>
                </c:pt>
                <c:pt idx="2">
                  <c:v>0.83573452999527631</c:v>
                </c:pt>
                <c:pt idx="3">
                  <c:v>0.81772207563764288</c:v>
                </c:pt>
                <c:pt idx="4">
                  <c:v>0.82463585273540541</c:v>
                </c:pt>
                <c:pt idx="5">
                  <c:v>0.76014964666759044</c:v>
                </c:pt>
                <c:pt idx="6">
                  <c:v>0.80945454545454543</c:v>
                </c:pt>
                <c:pt idx="7">
                  <c:v>0.77516059957173444</c:v>
                </c:pt>
                <c:pt idx="8">
                  <c:v>0.79798917246713075</c:v>
                </c:pt>
                <c:pt idx="9">
                  <c:v>0.80992390615091947</c:v>
                </c:pt>
                <c:pt idx="10">
                  <c:v>0.7720451863092227</c:v>
                </c:pt>
                <c:pt idx="11">
                  <c:v>0.8</c:v>
                </c:pt>
              </c:numCache>
            </c:numRef>
          </c:val>
          <c:smooth val="0"/>
          <c:extLst>
            <c:ext xmlns:c16="http://schemas.microsoft.com/office/drawing/2014/chart" uri="{C3380CC4-5D6E-409C-BE32-E72D297353CC}">
              <c16:uniqueId val="{00000004-5F81-4EA1-ADA4-0EE8C89B38B2}"/>
            </c:ext>
          </c:extLst>
        </c:ser>
        <c:ser>
          <c:idx val="2"/>
          <c:order val="2"/>
          <c:tx>
            <c:strRef>
              <c:f>'Ch5. PCT as filing route '!$A$125</c:f>
              <c:strCache>
                <c:ptCount val="1"/>
                <c:pt idx="0">
                  <c:v>R. Korea</c:v>
                </c:pt>
              </c:strCache>
            </c:strRef>
          </c:tx>
          <c:spPr>
            <a:ln w="28575" cap="rnd">
              <a:solidFill>
                <a:srgbClr val="7030A0"/>
              </a:solidFill>
              <a:round/>
            </a:ln>
            <a:effectLst/>
          </c:spPr>
          <c:marker>
            <c:symbol val="none"/>
          </c:marker>
          <c:dLbls>
            <c:dLbl>
              <c:idx val="5"/>
              <c:layout>
                <c:manualLayout>
                  <c:x val="-2.7080405919633118E-2"/>
                  <c:y val="7.025978105783963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'!$F$125:$Q$125</c:f>
              <c:numCache>
                <c:formatCode>0%</c:formatCode>
                <c:ptCount val="12"/>
                <c:pt idx="0">
                  <c:v>0.5826271186440678</c:v>
                </c:pt>
                <c:pt idx="1">
                  <c:v>0.66942551119766314</c:v>
                </c:pt>
                <c:pt idx="2">
                  <c:v>0.68544600938967137</c:v>
                </c:pt>
                <c:pt idx="3">
                  <c:v>0.6683256309989335</c:v>
                </c:pt>
                <c:pt idx="4">
                  <c:v>0.62814070351758799</c:v>
                </c:pt>
                <c:pt idx="5">
                  <c:v>0.41359223300970877</c:v>
                </c:pt>
                <c:pt idx="6">
                  <c:v>0.56873822975517896</c:v>
                </c:pt>
                <c:pt idx="7">
                  <c:v>0.6108802417831507</c:v>
                </c:pt>
                <c:pt idx="8">
                  <c:v>0.65722914307285774</c:v>
                </c:pt>
                <c:pt idx="9">
                  <c:v>0.6991334488734835</c:v>
                </c:pt>
                <c:pt idx="10">
                  <c:v>0.74959612277867527</c:v>
                </c:pt>
                <c:pt idx="11">
                  <c:v>0.77</c:v>
                </c:pt>
              </c:numCache>
            </c:numRef>
          </c:val>
          <c:smooth val="0"/>
          <c:extLst>
            <c:ext xmlns:c16="http://schemas.microsoft.com/office/drawing/2014/chart" uri="{C3380CC4-5D6E-409C-BE32-E72D297353CC}">
              <c16:uniqueId val="{00000005-5F81-4EA1-ADA4-0EE8C89B38B2}"/>
            </c:ext>
          </c:extLst>
        </c:ser>
        <c:ser>
          <c:idx val="3"/>
          <c:order val="3"/>
          <c:tx>
            <c:strRef>
              <c:f>'Ch5. PCT as filing route '!$A$126</c:f>
              <c:strCache>
                <c:ptCount val="1"/>
                <c:pt idx="0">
                  <c:v>P.R. China</c:v>
                </c:pt>
              </c:strCache>
            </c:strRef>
          </c:tx>
          <c:spPr>
            <a:ln w="28575" cap="rnd">
              <a:solidFill>
                <a:srgbClr val="FFC000"/>
              </a:solidFill>
              <a:round/>
            </a:ln>
            <a:effectLst/>
          </c:spPr>
          <c:marker>
            <c:symbol val="none"/>
          </c:marker>
          <c:dLbls>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F81-4EA1-ADA4-0EE8C89B38B2}"/>
                </c:ext>
              </c:extLst>
            </c:dLbl>
            <c:dLbl>
              <c:idx val="2"/>
              <c:layout>
                <c:manualLayout>
                  <c:x val="-2.0701426685130888E-2"/>
                  <c:y val="1.92391808561174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F81-4EA1-ADA4-0EE8C89B38B2}"/>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F81-4EA1-ADA4-0EE8C89B38B2}"/>
                </c:ext>
              </c:extLst>
            </c:dLbl>
            <c:dLbl>
              <c:idx val="4"/>
              <c:layout>
                <c:manualLayout>
                  <c:x val="-2.7080405919633066E-2"/>
                  <c:y val="1.39861904258665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F81-4EA1-ADA4-0EE8C89B38B2}"/>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F81-4EA1-ADA4-0EE8C89B38B2}"/>
                </c:ext>
              </c:extLst>
            </c:dLbl>
            <c:dLbl>
              <c:idx val="8"/>
              <c:layout>
                <c:manualLayout>
                  <c:x val="-2.9950613224310654E-2"/>
                  <c:y val="-3.06642282312665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F81-4EA1-ADA4-0EE8C89B38B2}"/>
                </c:ext>
              </c:extLst>
            </c:dLbl>
            <c:dLbl>
              <c:idx val="9"/>
              <c:layout>
                <c:manualLayout>
                  <c:x val="-2.7080405919633066E-2"/>
                  <c:y val="1.39861904258665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5F81-4EA1-ADA4-0EE8C89B38B2}"/>
                </c:ext>
              </c:extLst>
            </c:dLbl>
            <c:dLbl>
              <c:idx val="10"/>
              <c:layout>
                <c:manualLayout>
                  <c:x val="-2.7080405919632962E-2"/>
                  <c:y val="2.1865676071242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'!$F$126:$Q$126</c:f>
              <c:numCache>
                <c:formatCode>0%</c:formatCode>
                <c:ptCount val="12"/>
                <c:pt idx="0">
                  <c:v>0.82513661202185795</c:v>
                </c:pt>
                <c:pt idx="1">
                  <c:v>0.78974358974358971</c:v>
                </c:pt>
                <c:pt idx="2">
                  <c:v>0.91501416430594906</c:v>
                </c:pt>
                <c:pt idx="3">
                  <c:v>0.98009950248756217</c:v>
                </c:pt>
                <c:pt idx="4">
                  <c:v>0.89121338912133896</c:v>
                </c:pt>
                <c:pt idx="5">
                  <c:v>0.87936932916852595</c:v>
                </c:pt>
                <c:pt idx="6">
                  <c:v>0.75609756097560976</c:v>
                </c:pt>
                <c:pt idx="7">
                  <c:v>0.71292775665399244</c:v>
                </c:pt>
                <c:pt idx="8">
                  <c:v>0.67571721311475408</c:v>
                </c:pt>
                <c:pt idx="9">
                  <c:v>0.84320922915574203</c:v>
                </c:pt>
                <c:pt idx="10">
                  <c:v>0.80497737556561089</c:v>
                </c:pt>
                <c:pt idx="11">
                  <c:v>0.84</c:v>
                </c:pt>
              </c:numCache>
            </c:numRef>
          </c:val>
          <c:smooth val="0"/>
          <c:extLst>
            <c:ext xmlns:c16="http://schemas.microsoft.com/office/drawing/2014/chart" uri="{C3380CC4-5D6E-409C-BE32-E72D297353CC}">
              <c16:uniqueId val="{00000006-5F81-4EA1-ADA4-0EE8C89B38B2}"/>
            </c:ext>
          </c:extLst>
        </c:ser>
        <c:ser>
          <c:idx val="4"/>
          <c:order val="4"/>
          <c:tx>
            <c:strRef>
              <c:f>'Ch5. PCT as filing route '!$A$127</c:f>
              <c:strCache>
                <c:ptCount val="1"/>
                <c:pt idx="0">
                  <c:v>U.S.</c:v>
                </c:pt>
              </c:strCache>
            </c:strRef>
          </c:tx>
          <c:spPr>
            <a:ln w="28575" cap="rnd">
              <a:solidFill>
                <a:srgbClr val="009900"/>
              </a:solidFill>
              <a:round/>
            </a:ln>
            <a:effectLst/>
          </c:spPr>
          <c:marker>
            <c:symbol val="none"/>
          </c:marker>
          <c:dLbls>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F81-4EA1-ADA4-0EE8C89B38B2}"/>
                </c:ext>
              </c:extLst>
            </c:dLbl>
            <c:dLbl>
              <c:idx val="10"/>
              <c:layout>
                <c:manualLayout>
                  <c:x val="-2.7080405919632962E-2"/>
                  <c:y val="-2.71184596908470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'!$F$127:$Q$127</c:f>
              <c:numCache>
                <c:formatCode>0%</c:formatCode>
                <c:ptCount val="12"/>
                <c:pt idx="0">
                  <c:v>0.91616876551153603</c:v>
                </c:pt>
                <c:pt idx="1">
                  <c:v>0.94548471201706563</c:v>
                </c:pt>
                <c:pt idx="2">
                  <c:v>0.93071798667653594</c:v>
                </c:pt>
                <c:pt idx="3">
                  <c:v>0.92047172664045962</c:v>
                </c:pt>
                <c:pt idx="4">
                  <c:v>0.94011283089830755</c:v>
                </c:pt>
                <c:pt idx="5">
                  <c:v>0.77182770663562283</c:v>
                </c:pt>
                <c:pt idx="6">
                  <c:v>0.90909090909090906</c:v>
                </c:pt>
                <c:pt idx="7">
                  <c:v>0.91942703670546111</c:v>
                </c:pt>
                <c:pt idx="8">
                  <c:v>0.91993817619783613</c:v>
                </c:pt>
                <c:pt idx="9">
                  <c:v>0.90847237971812733</c:v>
                </c:pt>
                <c:pt idx="10">
                  <c:v>0.89466840052015606</c:v>
                </c:pt>
                <c:pt idx="11">
                  <c:v>0.84</c:v>
                </c:pt>
              </c:numCache>
            </c:numRef>
          </c:val>
          <c:smooth val="0"/>
          <c:extLst>
            <c:ext xmlns:c16="http://schemas.microsoft.com/office/drawing/2014/chart" uri="{C3380CC4-5D6E-409C-BE32-E72D297353CC}">
              <c16:uniqueId val="{00000007-5F81-4EA1-ADA4-0EE8C89B38B2}"/>
            </c:ext>
          </c:extLst>
        </c:ser>
        <c:ser>
          <c:idx val="5"/>
          <c:order val="5"/>
          <c:tx>
            <c:strRef>
              <c:f>'Ch5. PCT as filing route '!$A$128</c:f>
              <c:strCache>
                <c:ptCount val="1"/>
                <c:pt idx="0">
                  <c:v>Others</c:v>
                </c:pt>
              </c:strCache>
            </c:strRef>
          </c:tx>
          <c:spPr>
            <a:ln w="28575" cap="rnd">
              <a:solidFill>
                <a:schemeClr val="accent2"/>
              </a:solidFill>
              <a:round/>
            </a:ln>
            <a:effectLst/>
          </c:spPr>
          <c:marker>
            <c:symbol val="none"/>
          </c:marker>
          <c:dLbls>
            <c:dLbl>
              <c:idx val="3"/>
              <c:layout>
                <c:manualLayout>
                  <c:x val="-2.7080405919633118E-2"/>
                  <c:y val="-3.2371450121097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F81-4EA1-ADA4-0EE8C89B38B2}"/>
                </c:ext>
              </c:extLst>
            </c:dLbl>
            <c:dLbl>
              <c:idx val="10"/>
              <c:layout>
                <c:manualLayout>
                  <c:x val="-2.7080405919632962E-2"/>
                  <c:y val="-4.28774309815998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2"/>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'!$F$128:$Q$128</c:f>
              <c:numCache>
                <c:formatCode>0%</c:formatCode>
                <c:ptCount val="12"/>
                <c:pt idx="0">
                  <c:v>0.96408839779005528</c:v>
                </c:pt>
                <c:pt idx="1">
                  <c:v>0.97122302158273377</c:v>
                </c:pt>
                <c:pt idx="2">
                  <c:v>0.97029702970297027</c:v>
                </c:pt>
                <c:pt idx="3">
                  <c:v>0.96694214876033058</c:v>
                </c:pt>
                <c:pt idx="4">
                  <c:v>0.82278481012658233</c:v>
                </c:pt>
                <c:pt idx="5">
                  <c:v>0.83069427527405604</c:v>
                </c:pt>
                <c:pt idx="6">
                  <c:v>0.74751491053677932</c:v>
                </c:pt>
                <c:pt idx="7">
                  <c:v>0.8620296465222349</c:v>
                </c:pt>
                <c:pt idx="8">
                  <c:v>0.88952164009111623</c:v>
                </c:pt>
                <c:pt idx="9">
                  <c:v>0.89392265193370168</c:v>
                </c:pt>
                <c:pt idx="10">
                  <c:v>0.89885664028144241</c:v>
                </c:pt>
                <c:pt idx="11">
                  <c:v>0.89</c:v>
                </c:pt>
              </c:numCache>
            </c:numRef>
          </c:val>
          <c:smooth val="0"/>
          <c:extLst>
            <c:ext xmlns:c16="http://schemas.microsoft.com/office/drawing/2014/chart" uri="{C3380CC4-5D6E-409C-BE32-E72D297353CC}">
              <c16:uniqueId val="{0000000A-5F81-4EA1-ADA4-0EE8C89B38B2}"/>
            </c:ext>
          </c:extLst>
        </c:ser>
        <c:ser>
          <c:idx val="6"/>
          <c:order val="6"/>
          <c:tx>
            <c:strRef>
              <c:f>'Ch5. PCT as filing route '!$A$129</c:f>
              <c:strCache>
                <c:ptCount val="1"/>
                <c:pt idx="0">
                  <c:v>All</c:v>
                </c:pt>
              </c:strCache>
            </c:strRef>
          </c:tx>
          <c:spPr>
            <a:ln w="44450" cap="rnd">
              <a:solidFill>
                <a:schemeClr val="tx1"/>
              </a:solidFill>
              <a:prstDash val="sysDot"/>
              <a:round/>
            </a:ln>
            <a:effectLst/>
          </c:spPr>
          <c:marker>
            <c:symbol val="none"/>
          </c:marker>
          <c:dLbls>
            <c:dLbl>
              <c:idx val="0"/>
              <c:layout>
                <c:manualLayout>
                  <c:x val="-3.3617359556180074E-2"/>
                  <c:y val="-3.2371450121097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F81-4EA1-ADA4-0EE8C89B38B2}"/>
                </c:ext>
              </c:extLst>
            </c:dLbl>
            <c:dLbl>
              <c:idx val="1"/>
              <c:layout>
                <c:manualLayout>
                  <c:x val="-3.3617359556180074E-2"/>
                  <c:y val="-2.186546926059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F81-4EA1-ADA4-0EE8C89B38B2}"/>
                </c:ext>
              </c:extLst>
            </c:dLbl>
            <c:dLbl>
              <c:idx val="2"/>
              <c:layout>
                <c:manualLayout>
                  <c:x val="-3.3617359556180074E-2"/>
                  <c:y val="2.1865676071242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F81-4EA1-ADA4-0EE8C89B38B2}"/>
                </c:ext>
              </c:extLst>
            </c:dLbl>
            <c:dLbl>
              <c:idx val="3"/>
              <c:layout>
                <c:manualLayout>
                  <c:x val="-2.9312048599163684E-2"/>
                  <c:y val="2.1865676071242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F81-4EA1-ADA4-0EE8C89B38B2}"/>
                </c:ext>
              </c:extLst>
            </c:dLbl>
            <c:dLbl>
              <c:idx val="6"/>
              <c:layout>
                <c:manualLayout>
                  <c:x val="-2.7080405919633066E-2"/>
                  <c:y val="2.97451617166193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5F81-4EA1-ADA4-0EE8C89B38B2}"/>
                </c:ext>
              </c:extLst>
            </c:dLbl>
            <c:dLbl>
              <c:idx val="7"/>
              <c:layout>
                <c:manualLayout>
                  <c:x val="-2.7080405919633066E-2"/>
                  <c:y val="2.1865676071242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F81-4EA1-ADA4-0EE8C89B38B2}"/>
                </c:ext>
              </c:extLst>
            </c:dLbl>
            <c:dLbl>
              <c:idx val="8"/>
              <c:layout>
                <c:manualLayout>
                  <c:x val="-2.7080405919633066E-2"/>
                  <c:y val="2.9745161716619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5F81-4EA1-ADA4-0EE8C89B38B2}"/>
                </c:ext>
              </c:extLst>
            </c:dLbl>
            <c:dLbl>
              <c:idx val="9"/>
              <c:layout>
                <c:manualLayout>
                  <c:x val="-2.7080405919633066E-2"/>
                  <c:y val="4.55041330073721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5F81-4EA1-ADA4-0EE8C89B38B2}"/>
                </c:ext>
              </c:extLst>
            </c:dLbl>
            <c:dLbl>
              <c:idx val="10"/>
              <c:layout>
                <c:manualLayout>
                  <c:x val="-2.851550957197186E-2"/>
                  <c:y val="2.1865676071242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5F81-4EA1-ADA4-0EE8C89B38B2}"/>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'!$F$122:$Q$122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'Ch5. PCT as filing route '!$F$129:$Q$129</c:f>
              <c:numCache>
                <c:formatCode>0%</c:formatCode>
                <c:ptCount val="12"/>
                <c:pt idx="0">
                  <c:v>0.82929585422699348</c:v>
                </c:pt>
                <c:pt idx="1">
                  <c:v>0.88250591804754441</c:v>
                </c:pt>
                <c:pt idx="2">
                  <c:v>0.88792178736706606</c:v>
                </c:pt>
                <c:pt idx="3">
                  <c:v>0.8714233753637245</c:v>
                </c:pt>
                <c:pt idx="4">
                  <c:v>0.87307953171537256</c:v>
                </c:pt>
                <c:pt idx="5">
                  <c:v>0.79481532750267414</c:v>
                </c:pt>
                <c:pt idx="6">
                  <c:v>0.84338668277215767</c:v>
                </c:pt>
                <c:pt idx="7">
                  <c:v>0.84122955442752401</c:v>
                </c:pt>
                <c:pt idx="8">
                  <c:v>0.84588083796601654</c:v>
                </c:pt>
                <c:pt idx="9">
                  <c:v>0.85478034535297109</c:v>
                </c:pt>
                <c:pt idx="10">
                  <c:v>0.84104459073407034</c:v>
                </c:pt>
                <c:pt idx="11">
                  <c:v>0.85</c:v>
                </c:pt>
              </c:numCache>
            </c:numRef>
          </c:val>
          <c:smooth val="0"/>
          <c:extLst>
            <c:ext xmlns:c16="http://schemas.microsoft.com/office/drawing/2014/chart" uri="{C3380CC4-5D6E-409C-BE32-E72D297353CC}">
              <c16:uniqueId val="{0000000B-5F81-4EA1-ADA4-0EE8C89B38B2}"/>
            </c:ext>
          </c:extLst>
        </c:ser>
        <c:dLbls>
          <c:showLegendKey val="0"/>
          <c:showVal val="0"/>
          <c:showCatName val="0"/>
          <c:showSerName val="0"/>
          <c:showPercent val="0"/>
          <c:showBubbleSize val="0"/>
        </c:dLbls>
        <c:smooth val="0"/>
        <c:axId val="621907760"/>
        <c:axId val="621914816"/>
      </c:lineChart>
      <c:catAx>
        <c:axId val="62190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621914816"/>
        <c:crosses val="autoZero"/>
        <c:auto val="1"/>
        <c:lblAlgn val="ctr"/>
        <c:lblOffset val="100"/>
        <c:noMultiLvlLbl val="0"/>
      </c:catAx>
      <c:valAx>
        <c:axId val="621914816"/>
        <c:scaling>
          <c:orientation val="minMax"/>
          <c:max val="1"/>
          <c:min val="0.4"/>
        </c:scaling>
        <c:delete val="1"/>
        <c:axPos val="l"/>
        <c:numFmt formatCode="0%" sourceLinked="1"/>
        <c:majorTickMark val="out"/>
        <c:minorTickMark val="none"/>
        <c:tickLblPos val="nextTo"/>
        <c:crossAx val="62190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a:t>
            </a:r>
            <a:r>
              <a:rPr lang="en-US" sz="1400" b="1" i="0" u="none" strike="noStrike" baseline="0">
                <a:solidFill>
                  <a:sysClr val="windowText" lastClr="000000"/>
                </a:solidFill>
                <a:effectLst/>
              </a:rPr>
              <a:t>9</a:t>
            </a:r>
            <a:r>
              <a:rPr lang="en-US" sz="1400" b="1" i="0" u="none" strike="noStrike" baseline="0">
                <a:effectLst/>
              </a:rPr>
              <a:t>: PCT ACTIVITY - INTERNATIONAL PRELIMINARY EXAMINATION AUTHORITIES</a:t>
            </a:r>
            <a:r>
              <a:rPr lang="en-US" b="1" baseline="0">
                <a:solidFill>
                  <a:sysClr val="windowText" lastClr="000000"/>
                </a:solidFill>
              </a:rPr>
              <a:t>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3.9684515801713033E-2"/>
          <c:y val="1.5185611432884128E-2"/>
          <c:w val="0.88103510627030179"/>
          <c:h val="0.88497442576693797"/>
        </c:manualLayout>
      </c:layout>
      <c:barChart>
        <c:barDir val="col"/>
        <c:grouping val="stacked"/>
        <c:varyColors val="0"/>
        <c:ser>
          <c:idx val="5"/>
          <c:order val="0"/>
          <c:tx>
            <c:strRef>
              <c:f>'Ch5. PCT authorities'!$A$34</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authorities'!$O$34:$AB$34</c:f>
              <c:numCache>
                <c:formatCode>#,##0_);[Red]\(#,##0\)</c:formatCode>
                <c:ptCount val="14"/>
                <c:pt idx="0">
                  <c:v>1993</c:v>
                </c:pt>
                <c:pt idx="1">
                  <c:v>1775</c:v>
                </c:pt>
                <c:pt idx="2">
                  <c:v>1816</c:v>
                </c:pt>
                <c:pt idx="3">
                  <c:v>1746</c:v>
                </c:pt>
                <c:pt idx="4">
                  <c:v>1505</c:v>
                </c:pt>
                <c:pt idx="5">
                  <c:v>1600</c:v>
                </c:pt>
                <c:pt idx="6">
                  <c:v>1590</c:v>
                </c:pt>
                <c:pt idx="7">
                  <c:v>1396</c:v>
                </c:pt>
                <c:pt idx="8">
                  <c:v>1441</c:v>
                </c:pt>
                <c:pt idx="9">
                  <c:v>1342</c:v>
                </c:pt>
                <c:pt idx="10">
                  <c:v>1311</c:v>
                </c:pt>
                <c:pt idx="11">
                  <c:v>1334</c:v>
                </c:pt>
                <c:pt idx="12">
                  <c:v>1331</c:v>
                </c:pt>
                <c:pt idx="13" formatCode="#,##0">
                  <c:v>1136</c:v>
                </c:pt>
              </c:numCache>
            </c:numRef>
          </c:val>
          <c:extLst>
            <c:ext xmlns:c16="http://schemas.microsoft.com/office/drawing/2014/chart" uri="{C3380CC4-5D6E-409C-BE32-E72D297353CC}">
              <c16:uniqueId val="{00000000-3A04-4967-9232-ADCB959DB81D}"/>
            </c:ext>
          </c:extLst>
        </c:ser>
        <c:ser>
          <c:idx val="4"/>
          <c:order val="1"/>
          <c:tx>
            <c:strRef>
              <c:f>'Ch5. PCT authorities'!$A$33</c:f>
              <c:strCache>
                <c:ptCount val="1"/>
                <c:pt idx="0">
                  <c:v>USPTO</c:v>
                </c:pt>
              </c:strCache>
            </c:strRef>
          </c:tx>
          <c:spPr>
            <a:solidFill>
              <a:srgbClr val="77933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authorities'!$O$33:$AB$33</c:f>
              <c:numCache>
                <c:formatCode>#,##0_);[Red]\(#,##0\)</c:formatCode>
                <c:ptCount val="14"/>
                <c:pt idx="0">
                  <c:v>1875</c:v>
                </c:pt>
                <c:pt idx="1">
                  <c:v>1460</c:v>
                </c:pt>
                <c:pt idx="2">
                  <c:v>1440</c:v>
                </c:pt>
                <c:pt idx="3">
                  <c:v>1305</c:v>
                </c:pt>
                <c:pt idx="4">
                  <c:v>1146</c:v>
                </c:pt>
                <c:pt idx="5">
                  <c:v>1269</c:v>
                </c:pt>
                <c:pt idx="6">
                  <c:v>1480</c:v>
                </c:pt>
                <c:pt idx="7">
                  <c:v>1167</c:v>
                </c:pt>
                <c:pt idx="8">
                  <c:v>1090</c:v>
                </c:pt>
                <c:pt idx="9">
                  <c:v>998</c:v>
                </c:pt>
                <c:pt idx="10">
                  <c:v>994</c:v>
                </c:pt>
                <c:pt idx="11">
                  <c:v>864</c:v>
                </c:pt>
                <c:pt idx="12" formatCode="#,##0">
                  <c:v>878</c:v>
                </c:pt>
                <c:pt idx="13" formatCode="#,##0">
                  <c:v>779</c:v>
                </c:pt>
              </c:numCache>
            </c:numRef>
          </c:val>
          <c:extLst>
            <c:ext xmlns:c16="http://schemas.microsoft.com/office/drawing/2014/chart" uri="{C3380CC4-5D6E-409C-BE32-E72D297353CC}">
              <c16:uniqueId val="{00000001-3A04-4967-9232-ADCB959DB81D}"/>
            </c:ext>
          </c:extLst>
        </c:ser>
        <c:ser>
          <c:idx val="3"/>
          <c:order val="2"/>
          <c:tx>
            <c:strRef>
              <c:f>'Ch5. PCT authorities'!$A$32</c:f>
              <c:strCache>
                <c:ptCount val="1"/>
                <c:pt idx="0">
                  <c:v>CNIPA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authorities'!$O$32:$AB$32</c:f>
              <c:numCache>
                <c:formatCode>#,##0_);[Red]\(#,##0\)</c:formatCode>
                <c:ptCount val="14"/>
                <c:pt idx="0">
                  <c:v>303</c:v>
                </c:pt>
                <c:pt idx="1">
                  <c:v>362</c:v>
                </c:pt>
                <c:pt idx="2">
                  <c:v>421</c:v>
                </c:pt>
                <c:pt idx="3">
                  <c:v>476</c:v>
                </c:pt>
                <c:pt idx="4">
                  <c:v>384</c:v>
                </c:pt>
                <c:pt idx="5">
                  <c:v>375</c:v>
                </c:pt>
                <c:pt idx="6">
                  <c:v>387</c:v>
                </c:pt>
                <c:pt idx="7">
                  <c:v>339</c:v>
                </c:pt>
                <c:pt idx="8">
                  <c:v>376</c:v>
                </c:pt>
                <c:pt idx="9">
                  <c:v>417</c:v>
                </c:pt>
                <c:pt idx="10">
                  <c:v>438</c:v>
                </c:pt>
                <c:pt idx="11">
                  <c:v>370</c:v>
                </c:pt>
                <c:pt idx="12" formatCode="#,##0">
                  <c:v>368</c:v>
                </c:pt>
                <c:pt idx="13" formatCode="#,##0">
                  <c:v>293</c:v>
                </c:pt>
              </c:numCache>
            </c:numRef>
          </c:val>
          <c:extLst>
            <c:ext xmlns:c16="http://schemas.microsoft.com/office/drawing/2014/chart" uri="{C3380CC4-5D6E-409C-BE32-E72D297353CC}">
              <c16:uniqueId val="{00000002-3A04-4967-9232-ADCB959DB81D}"/>
            </c:ext>
          </c:extLst>
        </c:ser>
        <c:ser>
          <c:idx val="2"/>
          <c:order val="3"/>
          <c:tx>
            <c:strRef>
              <c:f>'Ch5. PCT authorities'!$A$31</c:f>
              <c:strCache>
                <c:ptCount val="1"/>
                <c:pt idx="0">
                  <c:v>KIPO</c:v>
                </c:pt>
              </c:strCache>
            </c:strRef>
          </c:tx>
          <c:spPr>
            <a:solidFill>
              <a:srgbClr val="604A7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authorities'!$O$31:$AB$31</c:f>
              <c:numCache>
                <c:formatCode>#,##0_);[Red]\(#,##0\)</c:formatCode>
                <c:ptCount val="14"/>
                <c:pt idx="0">
                  <c:v>340</c:v>
                </c:pt>
                <c:pt idx="1">
                  <c:v>271</c:v>
                </c:pt>
                <c:pt idx="2">
                  <c:v>223</c:v>
                </c:pt>
                <c:pt idx="3">
                  <c:v>299</c:v>
                </c:pt>
                <c:pt idx="4">
                  <c:v>253</c:v>
                </c:pt>
                <c:pt idx="5">
                  <c:v>234</c:v>
                </c:pt>
                <c:pt idx="6">
                  <c:v>207</c:v>
                </c:pt>
                <c:pt idx="7">
                  <c:v>178</c:v>
                </c:pt>
                <c:pt idx="8">
                  <c:v>160</c:v>
                </c:pt>
                <c:pt idx="9">
                  <c:v>125</c:v>
                </c:pt>
                <c:pt idx="10">
                  <c:v>128</c:v>
                </c:pt>
                <c:pt idx="11">
                  <c:v>109</c:v>
                </c:pt>
                <c:pt idx="12" formatCode="#,##0">
                  <c:v>124</c:v>
                </c:pt>
                <c:pt idx="13" formatCode="#,##0">
                  <c:v>121</c:v>
                </c:pt>
              </c:numCache>
            </c:numRef>
          </c:val>
          <c:extLst>
            <c:ext xmlns:c16="http://schemas.microsoft.com/office/drawing/2014/chart" uri="{C3380CC4-5D6E-409C-BE32-E72D297353CC}">
              <c16:uniqueId val="{00000003-3A04-4967-9232-ADCB959DB81D}"/>
            </c:ext>
          </c:extLst>
        </c:ser>
        <c:ser>
          <c:idx val="1"/>
          <c:order val="4"/>
          <c:tx>
            <c:strRef>
              <c:f>'Ch5. PCT authorities'!$A$30</c:f>
              <c:strCache>
                <c:ptCount val="1"/>
                <c:pt idx="0">
                  <c:v>JPO</c:v>
                </c:pt>
              </c:strCache>
            </c:strRef>
          </c:tx>
          <c:spPr>
            <a:solidFill>
              <a:srgbClr val="C050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authorities'!$O$30:$AB$30</c:f>
              <c:numCache>
                <c:formatCode>#,##0_);[Red]\(#,##0\)</c:formatCode>
                <c:ptCount val="14"/>
                <c:pt idx="0">
                  <c:v>2152</c:v>
                </c:pt>
                <c:pt idx="1">
                  <c:v>2121</c:v>
                </c:pt>
                <c:pt idx="2">
                  <c:v>2446</c:v>
                </c:pt>
                <c:pt idx="3">
                  <c:v>2661</c:v>
                </c:pt>
                <c:pt idx="4">
                  <c:v>2291</c:v>
                </c:pt>
                <c:pt idx="5">
                  <c:v>2250</c:v>
                </c:pt>
                <c:pt idx="6">
                  <c:v>2119</c:v>
                </c:pt>
                <c:pt idx="7">
                  <c:v>2002</c:v>
                </c:pt>
                <c:pt idx="8">
                  <c:v>2019</c:v>
                </c:pt>
                <c:pt idx="9">
                  <c:v>1963</c:v>
                </c:pt>
                <c:pt idx="10">
                  <c:v>1749</c:v>
                </c:pt>
                <c:pt idx="11">
                  <c:v>1458</c:v>
                </c:pt>
                <c:pt idx="12" formatCode="#,##0">
                  <c:v>1381</c:v>
                </c:pt>
                <c:pt idx="13" formatCode="#,##0">
                  <c:v>1156</c:v>
                </c:pt>
              </c:numCache>
            </c:numRef>
          </c:val>
          <c:extLst>
            <c:ext xmlns:c16="http://schemas.microsoft.com/office/drawing/2014/chart" uri="{C3380CC4-5D6E-409C-BE32-E72D297353CC}">
              <c16:uniqueId val="{00000004-3A04-4967-9232-ADCB959DB81D}"/>
            </c:ext>
          </c:extLst>
        </c:ser>
        <c:ser>
          <c:idx val="0"/>
          <c:order val="5"/>
          <c:tx>
            <c:strRef>
              <c:f>'Ch5. PCT authorities'!$A$29</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authorities'!$O$29:$AB$29</c:f>
              <c:numCache>
                <c:formatCode>#,##0_);[Red]\(#,##0\)</c:formatCode>
                <c:ptCount val="14"/>
                <c:pt idx="0">
                  <c:v>8592</c:v>
                </c:pt>
                <c:pt idx="1">
                  <c:v>7918</c:v>
                </c:pt>
                <c:pt idx="2">
                  <c:v>7393</c:v>
                </c:pt>
                <c:pt idx="3">
                  <c:v>7764</c:v>
                </c:pt>
                <c:pt idx="4">
                  <c:v>7750</c:v>
                </c:pt>
                <c:pt idx="5">
                  <c:v>8336</c:v>
                </c:pt>
                <c:pt idx="6">
                  <c:v>8673</c:v>
                </c:pt>
                <c:pt idx="7">
                  <c:v>8933</c:v>
                </c:pt>
                <c:pt idx="8">
                  <c:v>7950</c:v>
                </c:pt>
                <c:pt idx="9">
                  <c:v>7024</c:v>
                </c:pt>
                <c:pt idx="10">
                  <c:v>5733</c:v>
                </c:pt>
                <c:pt idx="11">
                  <c:v>5303</c:v>
                </c:pt>
                <c:pt idx="12" formatCode="#,##0">
                  <c:v>5173</c:v>
                </c:pt>
                <c:pt idx="13" formatCode="#,##0">
                  <c:v>5035</c:v>
                </c:pt>
              </c:numCache>
            </c:numRef>
          </c:val>
          <c:extLst>
            <c:ext xmlns:c16="http://schemas.microsoft.com/office/drawing/2014/chart" uri="{C3380CC4-5D6E-409C-BE32-E72D297353CC}">
              <c16:uniqueId val="{00000005-3A04-4967-9232-ADCB959DB81D}"/>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authorities'!$O$28:$AB$28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authorities'!$O$35:$AB$35</c:f>
              <c:numCache>
                <c:formatCode>#,##0</c:formatCode>
                <c:ptCount val="14"/>
                <c:pt idx="0">
                  <c:v>15255</c:v>
                </c:pt>
                <c:pt idx="1">
                  <c:v>13907</c:v>
                </c:pt>
                <c:pt idx="2">
                  <c:v>13739</c:v>
                </c:pt>
                <c:pt idx="3">
                  <c:v>14251</c:v>
                </c:pt>
                <c:pt idx="4">
                  <c:v>13329</c:v>
                </c:pt>
                <c:pt idx="5">
                  <c:v>14064</c:v>
                </c:pt>
                <c:pt idx="6">
                  <c:v>14456</c:v>
                </c:pt>
                <c:pt idx="7">
                  <c:v>14015</c:v>
                </c:pt>
                <c:pt idx="8">
                  <c:v>13036</c:v>
                </c:pt>
                <c:pt idx="9">
                  <c:v>11869</c:v>
                </c:pt>
                <c:pt idx="10">
                  <c:v>10353</c:v>
                </c:pt>
                <c:pt idx="11">
                  <c:v>9438</c:v>
                </c:pt>
                <c:pt idx="12">
                  <c:v>9255</c:v>
                </c:pt>
                <c:pt idx="13">
                  <c:v>8520</c:v>
                </c:pt>
              </c:numCache>
            </c:numRef>
          </c:val>
          <c:extLst>
            <c:ext xmlns:c16="http://schemas.microsoft.com/office/drawing/2014/chart" uri="{C3380CC4-5D6E-409C-BE32-E72D297353CC}">
              <c16:uniqueId val="{00000006-3A04-4967-9232-ADCB959DB81D}"/>
            </c:ext>
          </c:extLst>
        </c:ser>
        <c:dLbls>
          <c:showLegendKey val="0"/>
          <c:showVal val="0"/>
          <c:showCatName val="0"/>
          <c:showSerName val="0"/>
          <c:showPercent val="0"/>
          <c:showBubbleSize val="0"/>
        </c:dLbls>
        <c:gapWidth val="30"/>
        <c:overlap val="100"/>
        <c:axId val="543703016"/>
        <c:axId val="543701840"/>
      </c:barChart>
      <c:catAx>
        <c:axId val="543703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543701840"/>
        <c:crosses val="autoZero"/>
        <c:auto val="1"/>
        <c:lblAlgn val="ctr"/>
        <c:lblOffset val="100"/>
        <c:noMultiLvlLbl val="0"/>
      </c:catAx>
      <c:valAx>
        <c:axId val="543701840"/>
        <c:scaling>
          <c:orientation val="minMax"/>
          <c:max val="20000"/>
          <c:min val="0"/>
        </c:scaling>
        <c:delete val="1"/>
        <c:axPos val="l"/>
        <c:numFmt formatCode="#,##0_);[Red]\(#,##0\)" sourceLinked="1"/>
        <c:majorTickMark val="out"/>
        <c:minorTickMark val="none"/>
        <c:tickLblPos val="nextTo"/>
        <c:crossAx val="543703016"/>
        <c:crosses val="autoZero"/>
        <c:crossBetween val="between"/>
      </c:valAx>
      <c:spPr>
        <a:noFill/>
        <a:ln>
          <a:noFill/>
        </a:ln>
        <a:effectLst/>
      </c:spPr>
    </c:plotArea>
    <c:legend>
      <c:legendPos val="r"/>
      <c:legendEntry>
        <c:idx val="0"/>
        <c:delete val="1"/>
      </c:legendEntry>
      <c:layout>
        <c:manualLayout>
          <c:xMode val="edge"/>
          <c:yMode val="edge"/>
          <c:x val="0.90849362065356998"/>
          <c:y val="0.40304752937601002"/>
          <c:w val="8.4307393505635403E-2"/>
          <c:h val="0.23708653003487201"/>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5.7: PCT ACTIVITY - RECEIVING OFFICES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0720487697305334E-2"/>
          <c:y val="3.666203588175483E-3"/>
          <c:w val="0.90333020947625497"/>
          <c:h val="0.88497442576693797"/>
        </c:manualLayout>
      </c:layout>
      <c:barChart>
        <c:barDir val="col"/>
        <c:grouping val="stacked"/>
        <c:varyColors val="0"/>
        <c:ser>
          <c:idx val="5"/>
          <c:order val="0"/>
          <c:tx>
            <c:strRef>
              <c:f>'Ch5. PCT authorities'!$A$13</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authorities'!$O$13:$AB$13</c:f>
              <c:numCache>
                <c:formatCode>#,##0</c:formatCode>
                <c:ptCount val="14"/>
                <c:pt idx="0">
                  <c:v>39674</c:v>
                </c:pt>
                <c:pt idx="1">
                  <c:v>36671</c:v>
                </c:pt>
                <c:pt idx="2">
                  <c:v>36133</c:v>
                </c:pt>
                <c:pt idx="3">
                  <c:v>36322</c:v>
                </c:pt>
                <c:pt idx="4">
                  <c:v>36315</c:v>
                </c:pt>
                <c:pt idx="5">
                  <c:v>37125</c:v>
                </c:pt>
                <c:pt idx="6">
                  <c:v>37897</c:v>
                </c:pt>
                <c:pt idx="7">
                  <c:v>36551</c:v>
                </c:pt>
                <c:pt idx="8">
                  <c:v>36599</c:v>
                </c:pt>
                <c:pt idx="9">
                  <c:v>36599</c:v>
                </c:pt>
                <c:pt idx="10">
                  <c:v>38539</c:v>
                </c:pt>
                <c:pt idx="11">
                  <c:v>38785</c:v>
                </c:pt>
                <c:pt idx="12">
                  <c:v>39326</c:v>
                </c:pt>
                <c:pt idx="13">
                  <c:v>38383</c:v>
                </c:pt>
              </c:numCache>
            </c:numRef>
          </c:val>
          <c:extLst>
            <c:ext xmlns:c16="http://schemas.microsoft.com/office/drawing/2014/chart" uri="{C3380CC4-5D6E-409C-BE32-E72D297353CC}">
              <c16:uniqueId val="{00000000-3485-46E9-8BDA-A5AA7D4F9A33}"/>
            </c:ext>
          </c:extLst>
        </c:ser>
        <c:ser>
          <c:idx val="4"/>
          <c:order val="1"/>
          <c:tx>
            <c:strRef>
              <c:f>'Ch5. PCT authorities'!$A$12</c:f>
              <c:strCache>
                <c:ptCount val="1"/>
                <c:pt idx="0">
                  <c:v>USPTO</c:v>
                </c:pt>
              </c:strCache>
            </c:strRef>
          </c:tx>
          <c:spPr>
            <a:solidFill>
              <a:srgbClr val="77933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authorities'!$O$12:$AB$12</c:f>
              <c:numCache>
                <c:formatCode>#,##0</c:formatCode>
                <c:ptCount val="14"/>
                <c:pt idx="0">
                  <c:v>46055</c:v>
                </c:pt>
                <c:pt idx="1">
                  <c:v>45228</c:v>
                </c:pt>
                <c:pt idx="2">
                  <c:v>49366</c:v>
                </c:pt>
                <c:pt idx="3">
                  <c:v>52009</c:v>
                </c:pt>
                <c:pt idx="4">
                  <c:v>57678</c:v>
                </c:pt>
                <c:pt idx="5">
                  <c:v>61963</c:v>
                </c:pt>
                <c:pt idx="6">
                  <c:v>57419</c:v>
                </c:pt>
                <c:pt idx="7">
                  <c:v>56665</c:v>
                </c:pt>
                <c:pt idx="8">
                  <c:v>56256</c:v>
                </c:pt>
                <c:pt idx="9">
                  <c:v>55230</c:v>
                </c:pt>
                <c:pt idx="10">
                  <c:v>56230</c:v>
                </c:pt>
                <c:pt idx="11">
                  <c:v>55848</c:v>
                </c:pt>
                <c:pt idx="12">
                  <c:v>56428</c:v>
                </c:pt>
                <c:pt idx="13">
                  <c:v>55247</c:v>
                </c:pt>
              </c:numCache>
            </c:numRef>
          </c:val>
          <c:extLst>
            <c:ext xmlns:c16="http://schemas.microsoft.com/office/drawing/2014/chart" uri="{C3380CC4-5D6E-409C-BE32-E72D297353CC}">
              <c16:uniqueId val="{00000001-3485-46E9-8BDA-A5AA7D4F9A33}"/>
            </c:ext>
          </c:extLst>
        </c:ser>
        <c:ser>
          <c:idx val="3"/>
          <c:order val="2"/>
          <c:tx>
            <c:strRef>
              <c:f>'Ch5. PCT authorities'!$A$11</c:f>
              <c:strCache>
                <c:ptCount val="1"/>
                <c:pt idx="0">
                  <c:v>CNIPA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authorities'!$O$11:$AB$11</c:f>
              <c:numCache>
                <c:formatCode>#,##0</c:formatCode>
                <c:ptCount val="14"/>
                <c:pt idx="0">
                  <c:v>8000</c:v>
                </c:pt>
                <c:pt idx="1">
                  <c:v>12917</c:v>
                </c:pt>
                <c:pt idx="2">
                  <c:v>17471</c:v>
                </c:pt>
                <c:pt idx="3">
                  <c:v>19924</c:v>
                </c:pt>
                <c:pt idx="4">
                  <c:v>22927</c:v>
                </c:pt>
                <c:pt idx="5">
                  <c:v>27088</c:v>
                </c:pt>
                <c:pt idx="6">
                  <c:v>31044</c:v>
                </c:pt>
                <c:pt idx="7">
                  <c:v>44463</c:v>
                </c:pt>
                <c:pt idx="8">
                  <c:v>50657</c:v>
                </c:pt>
                <c:pt idx="9">
                  <c:v>55204</c:v>
                </c:pt>
                <c:pt idx="10">
                  <c:v>60997</c:v>
                </c:pt>
                <c:pt idx="11">
                  <c:v>72340</c:v>
                </c:pt>
                <c:pt idx="12">
                  <c:v>73456</c:v>
                </c:pt>
                <c:pt idx="13">
                  <c:v>74413</c:v>
                </c:pt>
              </c:numCache>
            </c:numRef>
          </c:val>
          <c:extLst>
            <c:ext xmlns:c16="http://schemas.microsoft.com/office/drawing/2014/chart" uri="{C3380CC4-5D6E-409C-BE32-E72D297353CC}">
              <c16:uniqueId val="{00000002-3485-46E9-8BDA-A5AA7D4F9A33}"/>
            </c:ext>
          </c:extLst>
        </c:ser>
        <c:ser>
          <c:idx val="2"/>
          <c:order val="3"/>
          <c:tx>
            <c:strRef>
              <c:f>'Ch5. PCT authorities'!$A$10</c:f>
              <c:strCache>
                <c:ptCount val="1"/>
                <c:pt idx="0">
                  <c:v>KIPO</c:v>
                </c:pt>
              </c:strCache>
            </c:strRef>
          </c:tx>
          <c:spPr>
            <a:solidFill>
              <a:srgbClr val="604A7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authorities'!$O$10:$AB$10</c:f>
              <c:numCache>
                <c:formatCode>#,##0</c:formatCode>
                <c:ptCount val="14"/>
                <c:pt idx="0">
                  <c:v>8025</c:v>
                </c:pt>
                <c:pt idx="1">
                  <c:v>9639</c:v>
                </c:pt>
                <c:pt idx="2">
                  <c:v>10413</c:v>
                </c:pt>
                <c:pt idx="3">
                  <c:v>11869</c:v>
                </c:pt>
                <c:pt idx="4">
                  <c:v>12439</c:v>
                </c:pt>
                <c:pt idx="5">
                  <c:v>13138</c:v>
                </c:pt>
                <c:pt idx="6">
                  <c:v>14593</c:v>
                </c:pt>
                <c:pt idx="7">
                  <c:v>15595</c:v>
                </c:pt>
                <c:pt idx="8">
                  <c:v>15789</c:v>
                </c:pt>
                <c:pt idx="9">
                  <c:v>16990</c:v>
                </c:pt>
                <c:pt idx="10">
                  <c:v>18885</c:v>
                </c:pt>
                <c:pt idx="11">
                  <c:v>19675</c:v>
                </c:pt>
                <c:pt idx="12">
                  <c:v>20525</c:v>
                </c:pt>
                <c:pt idx="13">
                  <c:v>21916</c:v>
                </c:pt>
              </c:numCache>
            </c:numRef>
          </c:val>
          <c:extLst>
            <c:ext xmlns:c16="http://schemas.microsoft.com/office/drawing/2014/chart" uri="{C3380CC4-5D6E-409C-BE32-E72D297353CC}">
              <c16:uniqueId val="{00000003-3485-46E9-8BDA-A5AA7D4F9A33}"/>
            </c:ext>
          </c:extLst>
        </c:ser>
        <c:ser>
          <c:idx val="1"/>
          <c:order val="4"/>
          <c:tx>
            <c:strRef>
              <c:f>'Ch5. PCT authorities'!$A$9</c:f>
              <c:strCache>
                <c:ptCount val="1"/>
                <c:pt idx="0">
                  <c:v>JPO</c:v>
                </c:pt>
              </c:strCache>
            </c:strRef>
          </c:tx>
          <c:spPr>
            <a:solidFill>
              <a:srgbClr val="C050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authorities'!$O$9:$AB$9</c:f>
              <c:numCache>
                <c:formatCode>#,##0</c:formatCode>
                <c:ptCount val="14"/>
                <c:pt idx="0">
                  <c:v>29291</c:v>
                </c:pt>
                <c:pt idx="1">
                  <c:v>31523</c:v>
                </c:pt>
                <c:pt idx="2">
                  <c:v>37972</c:v>
                </c:pt>
                <c:pt idx="3">
                  <c:v>42787</c:v>
                </c:pt>
                <c:pt idx="4">
                  <c:v>43075</c:v>
                </c:pt>
                <c:pt idx="5">
                  <c:v>41292</c:v>
                </c:pt>
                <c:pt idx="6">
                  <c:v>43097</c:v>
                </c:pt>
                <c:pt idx="7">
                  <c:v>44495</c:v>
                </c:pt>
                <c:pt idx="8">
                  <c:v>47425</c:v>
                </c:pt>
                <c:pt idx="9">
                  <c:v>48630</c:v>
                </c:pt>
                <c:pt idx="10">
                  <c:v>51652</c:v>
                </c:pt>
                <c:pt idx="11">
                  <c:v>49313</c:v>
                </c:pt>
                <c:pt idx="12">
                  <c:v>49039</c:v>
                </c:pt>
                <c:pt idx="13">
                  <c:v>48719</c:v>
                </c:pt>
              </c:numCache>
            </c:numRef>
          </c:val>
          <c:extLst>
            <c:ext xmlns:c16="http://schemas.microsoft.com/office/drawing/2014/chart" uri="{C3380CC4-5D6E-409C-BE32-E72D297353CC}">
              <c16:uniqueId val="{00000004-3485-46E9-8BDA-A5AA7D4F9A33}"/>
            </c:ext>
          </c:extLst>
        </c:ser>
        <c:ser>
          <c:idx val="0"/>
          <c:order val="5"/>
          <c:tx>
            <c:strRef>
              <c:f>'Ch5. PCT authorities'!$A$8</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authorities'!$O$8:$AB$8</c:f>
              <c:numCache>
                <c:formatCode>#,##0</c:formatCode>
                <c:ptCount val="14"/>
                <c:pt idx="0">
                  <c:v>27360</c:v>
                </c:pt>
                <c:pt idx="1">
                  <c:v>28900</c:v>
                </c:pt>
                <c:pt idx="2">
                  <c:v>30893</c:v>
                </c:pt>
                <c:pt idx="3">
                  <c:v>32430</c:v>
                </c:pt>
                <c:pt idx="4">
                  <c:v>32036</c:v>
                </c:pt>
                <c:pt idx="5">
                  <c:v>32902</c:v>
                </c:pt>
                <c:pt idx="6">
                  <c:v>34151</c:v>
                </c:pt>
                <c:pt idx="7">
                  <c:v>35288</c:v>
                </c:pt>
                <c:pt idx="8">
                  <c:v>36619</c:v>
                </c:pt>
                <c:pt idx="9">
                  <c:v>37937</c:v>
                </c:pt>
                <c:pt idx="10">
                  <c:v>37999</c:v>
                </c:pt>
                <c:pt idx="11">
                  <c:v>38872</c:v>
                </c:pt>
                <c:pt idx="12">
                  <c:v>38322</c:v>
                </c:pt>
                <c:pt idx="13">
                  <c:v>38761</c:v>
                </c:pt>
              </c:numCache>
            </c:numRef>
          </c:val>
          <c:extLst>
            <c:ext xmlns:c16="http://schemas.microsoft.com/office/drawing/2014/chart" uri="{C3380CC4-5D6E-409C-BE32-E72D297353CC}">
              <c16:uniqueId val="{00000005-3485-46E9-8BDA-A5AA7D4F9A33}"/>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authorities'!$O$7:$AB$7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authorities'!$O$14:$AB$14</c:f>
              <c:numCache>
                <c:formatCode>#,##0</c:formatCode>
                <c:ptCount val="14"/>
                <c:pt idx="0">
                  <c:v>155402</c:v>
                </c:pt>
                <c:pt idx="1">
                  <c:v>164340</c:v>
                </c:pt>
                <c:pt idx="2">
                  <c:v>182437</c:v>
                </c:pt>
                <c:pt idx="3">
                  <c:v>195334</c:v>
                </c:pt>
                <c:pt idx="4">
                  <c:v>205280</c:v>
                </c:pt>
                <c:pt idx="5">
                  <c:v>214280</c:v>
                </c:pt>
                <c:pt idx="6">
                  <c:v>216855</c:v>
                </c:pt>
                <c:pt idx="7">
                  <c:v>232853</c:v>
                </c:pt>
                <c:pt idx="8">
                  <c:v>243345</c:v>
                </c:pt>
                <c:pt idx="9">
                  <c:v>252530</c:v>
                </c:pt>
                <c:pt idx="10">
                  <c:v>265357</c:v>
                </c:pt>
                <c:pt idx="11">
                  <c:v>274833</c:v>
                </c:pt>
                <c:pt idx="12">
                  <c:v>277096</c:v>
                </c:pt>
                <c:pt idx="13">
                  <c:v>277439</c:v>
                </c:pt>
              </c:numCache>
            </c:numRef>
          </c:val>
          <c:extLst>
            <c:ext xmlns:c16="http://schemas.microsoft.com/office/drawing/2014/chart" uri="{C3380CC4-5D6E-409C-BE32-E72D297353CC}">
              <c16:uniqueId val="{00000006-3485-46E9-8BDA-A5AA7D4F9A33}"/>
            </c:ext>
          </c:extLst>
        </c:ser>
        <c:dLbls>
          <c:showLegendKey val="0"/>
          <c:showVal val="0"/>
          <c:showCatName val="0"/>
          <c:showSerName val="0"/>
          <c:showPercent val="0"/>
          <c:showBubbleSize val="0"/>
        </c:dLbls>
        <c:gapWidth val="30"/>
        <c:overlap val="100"/>
        <c:axId val="543703016"/>
        <c:axId val="543701840"/>
      </c:barChart>
      <c:catAx>
        <c:axId val="543703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543701840"/>
        <c:crosses val="autoZero"/>
        <c:auto val="1"/>
        <c:lblAlgn val="ctr"/>
        <c:lblOffset val="100"/>
        <c:noMultiLvlLbl val="0"/>
      </c:catAx>
      <c:valAx>
        <c:axId val="543701840"/>
        <c:scaling>
          <c:orientation val="minMax"/>
          <c:max val="320000"/>
          <c:min val="0"/>
        </c:scaling>
        <c:delete val="1"/>
        <c:axPos val="l"/>
        <c:numFmt formatCode="#,##0" sourceLinked="1"/>
        <c:majorTickMark val="out"/>
        <c:minorTickMark val="none"/>
        <c:tickLblPos val="nextTo"/>
        <c:crossAx val="543703016"/>
        <c:crosses val="autoZero"/>
        <c:crossBetween val="between"/>
      </c:valAx>
      <c:spPr>
        <a:noFill/>
        <a:ln>
          <a:noFill/>
        </a:ln>
        <a:effectLst/>
      </c:spPr>
    </c:plotArea>
    <c:legend>
      <c:legendPos val="r"/>
      <c:legendEntry>
        <c:idx val="0"/>
        <c:delete val="1"/>
      </c:legendEntry>
      <c:layout>
        <c:manualLayout>
          <c:xMode val="edge"/>
          <c:yMode val="edge"/>
          <c:x val="0.90849362065356998"/>
          <c:y val="0.40304752937601002"/>
          <c:w val="8.4307393505635403E-2"/>
          <c:h val="0.23708653003487201"/>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a:t>
            </a:r>
            <a:r>
              <a:rPr lang="en-US" sz="1400" b="1" i="0" u="none" strike="noStrike" baseline="0">
                <a:effectLst/>
              </a:rPr>
              <a:t>8: PCT ACTIVITY - INTERNATIONAL SEARCHING AUTHORITIES</a:t>
            </a:r>
            <a:r>
              <a:rPr lang="en-US" b="1" baseline="0">
                <a:solidFill>
                  <a:sysClr val="windowText" lastClr="000000"/>
                </a:solidFill>
              </a:rPr>
              <a:t>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0720487697305334E-2"/>
          <c:y val="3.666203588175483E-3"/>
          <c:w val="0.90333020947625497"/>
          <c:h val="0.88497442576693797"/>
        </c:manualLayout>
      </c:layout>
      <c:barChart>
        <c:barDir val="col"/>
        <c:grouping val="stacked"/>
        <c:varyColors val="0"/>
        <c:ser>
          <c:idx val="5"/>
          <c:order val="0"/>
          <c:tx>
            <c:strRef>
              <c:f>'Ch5. PCT authorities'!$A$24</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authorities'!$O$24:$AB$24</c:f>
              <c:numCache>
                <c:formatCode>#,##0_);[Red]\(#,##0\)</c:formatCode>
                <c:ptCount val="14"/>
                <c:pt idx="0">
                  <c:v>11710</c:v>
                </c:pt>
                <c:pt idx="1">
                  <c:v>12032</c:v>
                </c:pt>
                <c:pt idx="2">
                  <c:v>11993</c:v>
                </c:pt>
                <c:pt idx="3">
                  <c:v>13047</c:v>
                </c:pt>
                <c:pt idx="4">
                  <c:v>14495</c:v>
                </c:pt>
                <c:pt idx="5">
                  <c:v>13690</c:v>
                </c:pt>
                <c:pt idx="6">
                  <c:v>13327</c:v>
                </c:pt>
                <c:pt idx="7">
                  <c:v>14346</c:v>
                </c:pt>
                <c:pt idx="8">
                  <c:v>16220</c:v>
                </c:pt>
                <c:pt idx="9">
                  <c:v>17512</c:v>
                </c:pt>
                <c:pt idx="10">
                  <c:v>18326</c:v>
                </c:pt>
                <c:pt idx="11" formatCode="#,##0">
                  <c:v>17676</c:v>
                </c:pt>
                <c:pt idx="12">
                  <c:v>17580</c:v>
                </c:pt>
                <c:pt idx="13" formatCode="#,##0">
                  <c:v>15930</c:v>
                </c:pt>
              </c:numCache>
            </c:numRef>
          </c:val>
          <c:extLst>
            <c:ext xmlns:c16="http://schemas.microsoft.com/office/drawing/2014/chart" uri="{C3380CC4-5D6E-409C-BE32-E72D297353CC}">
              <c16:uniqueId val="{00000000-988D-45E4-A731-F1912C732873}"/>
            </c:ext>
          </c:extLst>
        </c:ser>
        <c:ser>
          <c:idx val="4"/>
          <c:order val="1"/>
          <c:tx>
            <c:strRef>
              <c:f>'Ch5. PCT authorities'!$A$23</c:f>
              <c:strCache>
                <c:ptCount val="1"/>
                <c:pt idx="0">
                  <c:v>USPTO</c:v>
                </c:pt>
              </c:strCache>
            </c:strRef>
          </c:tx>
          <c:spPr>
            <a:solidFill>
              <a:srgbClr val="77933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authorities'!$O$23:$AB$23</c:f>
              <c:numCache>
                <c:formatCode>#,##0</c:formatCode>
                <c:ptCount val="14"/>
                <c:pt idx="0">
                  <c:v>15462</c:v>
                </c:pt>
                <c:pt idx="1">
                  <c:v>15902</c:v>
                </c:pt>
                <c:pt idx="2">
                  <c:v>16482</c:v>
                </c:pt>
                <c:pt idx="3">
                  <c:v>17111</c:v>
                </c:pt>
                <c:pt idx="4">
                  <c:v>16686</c:v>
                </c:pt>
                <c:pt idx="5">
                  <c:v>21908</c:v>
                </c:pt>
                <c:pt idx="6">
                  <c:v>20878</c:v>
                </c:pt>
                <c:pt idx="7">
                  <c:v>20758</c:v>
                </c:pt>
                <c:pt idx="8">
                  <c:v>21443</c:v>
                </c:pt>
                <c:pt idx="9">
                  <c:v>21958</c:v>
                </c:pt>
                <c:pt idx="10">
                  <c:v>23136</c:v>
                </c:pt>
                <c:pt idx="11">
                  <c:v>22875</c:v>
                </c:pt>
                <c:pt idx="12">
                  <c:v>24035</c:v>
                </c:pt>
                <c:pt idx="13">
                  <c:v>23971</c:v>
                </c:pt>
              </c:numCache>
            </c:numRef>
          </c:val>
          <c:extLst>
            <c:ext xmlns:c16="http://schemas.microsoft.com/office/drawing/2014/chart" uri="{C3380CC4-5D6E-409C-BE32-E72D297353CC}">
              <c16:uniqueId val="{00000001-988D-45E4-A731-F1912C732873}"/>
            </c:ext>
          </c:extLst>
        </c:ser>
        <c:ser>
          <c:idx val="3"/>
          <c:order val="2"/>
          <c:tx>
            <c:strRef>
              <c:f>'Ch5. PCT authorities'!$A$22</c:f>
              <c:strCache>
                <c:ptCount val="1"/>
                <c:pt idx="0">
                  <c:v>CNIPA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authorities'!$O$22:$AB$22</c:f>
              <c:numCache>
                <c:formatCode>#,##0</c:formatCode>
                <c:ptCount val="14"/>
                <c:pt idx="0">
                  <c:v>8095</c:v>
                </c:pt>
                <c:pt idx="1">
                  <c:v>13271</c:v>
                </c:pt>
                <c:pt idx="2">
                  <c:v>18017</c:v>
                </c:pt>
                <c:pt idx="3">
                  <c:v>20720</c:v>
                </c:pt>
                <c:pt idx="4">
                  <c:v>23707</c:v>
                </c:pt>
                <c:pt idx="5">
                  <c:v>27603</c:v>
                </c:pt>
                <c:pt idx="6">
                  <c:v>31408</c:v>
                </c:pt>
                <c:pt idx="7">
                  <c:v>44884</c:v>
                </c:pt>
                <c:pt idx="8">
                  <c:v>51119</c:v>
                </c:pt>
                <c:pt idx="9">
                  <c:v>55851</c:v>
                </c:pt>
                <c:pt idx="10">
                  <c:v>61419</c:v>
                </c:pt>
                <c:pt idx="11">
                  <c:v>72926</c:v>
                </c:pt>
                <c:pt idx="12">
                  <c:v>73045</c:v>
                </c:pt>
                <c:pt idx="13">
                  <c:v>73908</c:v>
                </c:pt>
              </c:numCache>
            </c:numRef>
          </c:val>
          <c:extLst>
            <c:ext xmlns:c16="http://schemas.microsoft.com/office/drawing/2014/chart" uri="{C3380CC4-5D6E-409C-BE32-E72D297353CC}">
              <c16:uniqueId val="{00000002-988D-45E4-A731-F1912C732873}"/>
            </c:ext>
          </c:extLst>
        </c:ser>
        <c:ser>
          <c:idx val="2"/>
          <c:order val="3"/>
          <c:tx>
            <c:strRef>
              <c:f>'Ch5. PCT authorities'!$A$21</c:f>
              <c:strCache>
                <c:ptCount val="1"/>
                <c:pt idx="0">
                  <c:v>KIPO</c:v>
                </c:pt>
              </c:strCache>
            </c:strRef>
          </c:tx>
          <c:spPr>
            <a:solidFill>
              <a:srgbClr val="604A7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authorities'!$O$21:$AB$21</c:f>
              <c:numCache>
                <c:formatCode>#,##0</c:formatCode>
                <c:ptCount val="14"/>
                <c:pt idx="0">
                  <c:v>21714</c:v>
                </c:pt>
                <c:pt idx="1">
                  <c:v>23310</c:v>
                </c:pt>
                <c:pt idx="2">
                  <c:v>27180</c:v>
                </c:pt>
                <c:pt idx="3">
                  <c:v>27578</c:v>
                </c:pt>
                <c:pt idx="4">
                  <c:v>30653</c:v>
                </c:pt>
                <c:pt idx="5">
                  <c:v>30630</c:v>
                </c:pt>
                <c:pt idx="6">
                  <c:v>29149</c:v>
                </c:pt>
                <c:pt idx="7">
                  <c:v>28093</c:v>
                </c:pt>
                <c:pt idx="8">
                  <c:v>26179</c:v>
                </c:pt>
                <c:pt idx="9">
                  <c:v>26424</c:v>
                </c:pt>
                <c:pt idx="10">
                  <c:v>28288</c:v>
                </c:pt>
                <c:pt idx="11">
                  <c:v>28640</c:v>
                </c:pt>
                <c:pt idx="12">
                  <c:v>29278</c:v>
                </c:pt>
                <c:pt idx="13">
                  <c:v>30577</c:v>
                </c:pt>
              </c:numCache>
            </c:numRef>
          </c:val>
          <c:extLst>
            <c:ext xmlns:c16="http://schemas.microsoft.com/office/drawing/2014/chart" uri="{C3380CC4-5D6E-409C-BE32-E72D297353CC}">
              <c16:uniqueId val="{00000003-988D-45E4-A731-F1912C732873}"/>
            </c:ext>
          </c:extLst>
        </c:ser>
        <c:ser>
          <c:idx val="1"/>
          <c:order val="4"/>
          <c:tx>
            <c:strRef>
              <c:f>'Ch5. PCT authorities'!$A$20</c:f>
              <c:strCache>
                <c:ptCount val="1"/>
                <c:pt idx="0">
                  <c:v>JPO</c:v>
                </c:pt>
              </c:strCache>
            </c:strRef>
          </c:tx>
          <c:spPr>
            <a:solidFill>
              <a:srgbClr val="C050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authorities'!$O$20:$AB$20</c:f>
              <c:numCache>
                <c:formatCode>#,##0</c:formatCode>
                <c:ptCount val="14"/>
                <c:pt idx="0">
                  <c:v>28446</c:v>
                </c:pt>
                <c:pt idx="1">
                  <c:v>30856</c:v>
                </c:pt>
                <c:pt idx="2">
                  <c:v>37094</c:v>
                </c:pt>
                <c:pt idx="3">
                  <c:v>41677</c:v>
                </c:pt>
                <c:pt idx="4">
                  <c:v>42270</c:v>
                </c:pt>
                <c:pt idx="5">
                  <c:v>40803</c:v>
                </c:pt>
                <c:pt idx="6">
                  <c:v>43057</c:v>
                </c:pt>
                <c:pt idx="7">
                  <c:v>44462</c:v>
                </c:pt>
                <c:pt idx="8">
                  <c:v>47127</c:v>
                </c:pt>
                <c:pt idx="9">
                  <c:v>48526</c:v>
                </c:pt>
                <c:pt idx="10">
                  <c:v>51736</c:v>
                </c:pt>
                <c:pt idx="11">
                  <c:v>49392</c:v>
                </c:pt>
                <c:pt idx="12">
                  <c:v>49145</c:v>
                </c:pt>
                <c:pt idx="13">
                  <c:v>48925</c:v>
                </c:pt>
              </c:numCache>
            </c:numRef>
          </c:val>
          <c:extLst>
            <c:ext xmlns:c16="http://schemas.microsoft.com/office/drawing/2014/chart" uri="{C3380CC4-5D6E-409C-BE32-E72D297353CC}">
              <c16:uniqueId val="{00000004-988D-45E4-A731-F1912C732873}"/>
            </c:ext>
          </c:extLst>
        </c:ser>
        <c:ser>
          <c:idx val="0"/>
          <c:order val="5"/>
          <c:tx>
            <c:strRef>
              <c:f>'Ch5. PCT authorities'!$A$19</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authorities'!$O$19:$AB$19</c:f>
              <c:numCache>
                <c:formatCode>#,##0</c:formatCode>
                <c:ptCount val="14"/>
                <c:pt idx="0">
                  <c:v>69960</c:v>
                </c:pt>
                <c:pt idx="1">
                  <c:v>68937</c:v>
                </c:pt>
                <c:pt idx="2">
                  <c:v>71624</c:v>
                </c:pt>
                <c:pt idx="3">
                  <c:v>75148</c:v>
                </c:pt>
                <c:pt idx="4">
                  <c:v>77411</c:v>
                </c:pt>
                <c:pt idx="5">
                  <c:v>79545</c:v>
                </c:pt>
                <c:pt idx="6">
                  <c:v>79280</c:v>
                </c:pt>
                <c:pt idx="7">
                  <c:v>79912</c:v>
                </c:pt>
                <c:pt idx="8">
                  <c:v>81257</c:v>
                </c:pt>
                <c:pt idx="9">
                  <c:v>82235</c:v>
                </c:pt>
                <c:pt idx="10">
                  <c:v>82452</c:v>
                </c:pt>
                <c:pt idx="11">
                  <c:v>83300</c:v>
                </c:pt>
                <c:pt idx="12">
                  <c:v>84013</c:v>
                </c:pt>
                <c:pt idx="13">
                  <c:v>84128</c:v>
                </c:pt>
              </c:numCache>
            </c:numRef>
          </c:val>
          <c:extLst>
            <c:ext xmlns:c16="http://schemas.microsoft.com/office/drawing/2014/chart" uri="{C3380CC4-5D6E-409C-BE32-E72D297353CC}">
              <c16:uniqueId val="{00000005-988D-45E4-A731-F1912C732873}"/>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authorities'!$O$18:$AB$18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'Ch5. PCT authorities'!$O$25:$AB$25</c:f>
              <c:numCache>
                <c:formatCode>#,##0</c:formatCode>
                <c:ptCount val="14"/>
                <c:pt idx="0">
                  <c:v>155402</c:v>
                </c:pt>
                <c:pt idx="1">
                  <c:v>164340</c:v>
                </c:pt>
                <c:pt idx="2">
                  <c:v>182437</c:v>
                </c:pt>
                <c:pt idx="3">
                  <c:v>195334</c:v>
                </c:pt>
                <c:pt idx="4">
                  <c:v>205222</c:v>
                </c:pt>
                <c:pt idx="5">
                  <c:v>214179</c:v>
                </c:pt>
                <c:pt idx="6">
                  <c:v>217099</c:v>
                </c:pt>
                <c:pt idx="7">
                  <c:v>232455</c:v>
                </c:pt>
                <c:pt idx="8">
                  <c:v>243345</c:v>
                </c:pt>
                <c:pt idx="9">
                  <c:v>252506</c:v>
                </c:pt>
                <c:pt idx="10">
                  <c:v>265357</c:v>
                </c:pt>
                <c:pt idx="11">
                  <c:v>274809</c:v>
                </c:pt>
                <c:pt idx="12">
                  <c:v>277096</c:v>
                </c:pt>
                <c:pt idx="13">
                  <c:v>277439</c:v>
                </c:pt>
              </c:numCache>
            </c:numRef>
          </c:val>
          <c:extLst>
            <c:ext xmlns:c16="http://schemas.microsoft.com/office/drawing/2014/chart" uri="{C3380CC4-5D6E-409C-BE32-E72D297353CC}">
              <c16:uniqueId val="{00000006-988D-45E4-A731-F1912C732873}"/>
            </c:ext>
          </c:extLst>
        </c:ser>
        <c:dLbls>
          <c:showLegendKey val="0"/>
          <c:showVal val="0"/>
          <c:showCatName val="0"/>
          <c:showSerName val="0"/>
          <c:showPercent val="0"/>
          <c:showBubbleSize val="0"/>
        </c:dLbls>
        <c:gapWidth val="30"/>
        <c:overlap val="100"/>
        <c:axId val="543703016"/>
        <c:axId val="543701840"/>
      </c:barChart>
      <c:catAx>
        <c:axId val="543703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en-US"/>
          </a:p>
        </c:txPr>
        <c:crossAx val="543701840"/>
        <c:crosses val="autoZero"/>
        <c:auto val="1"/>
        <c:lblAlgn val="ctr"/>
        <c:lblOffset val="100"/>
        <c:noMultiLvlLbl val="0"/>
      </c:catAx>
      <c:valAx>
        <c:axId val="543701840"/>
        <c:scaling>
          <c:orientation val="minMax"/>
          <c:max val="320000"/>
          <c:min val="0"/>
        </c:scaling>
        <c:delete val="1"/>
        <c:axPos val="l"/>
        <c:numFmt formatCode="#,##0_);[Red]\(#,##0\)" sourceLinked="1"/>
        <c:majorTickMark val="out"/>
        <c:minorTickMark val="none"/>
        <c:tickLblPos val="nextTo"/>
        <c:crossAx val="543703016"/>
        <c:crosses val="autoZero"/>
        <c:crossBetween val="between"/>
      </c:valAx>
      <c:spPr>
        <a:noFill/>
        <a:ln>
          <a:noFill/>
        </a:ln>
        <a:effectLst/>
      </c:spPr>
    </c:plotArea>
    <c:legend>
      <c:legendPos val="r"/>
      <c:legendEntry>
        <c:idx val="0"/>
        <c:delete val="1"/>
      </c:legendEntry>
      <c:layout>
        <c:manualLayout>
          <c:xMode val="edge"/>
          <c:yMode val="edge"/>
          <c:x val="0.90849362065356998"/>
          <c:y val="0.40304752937601002"/>
          <c:w val="8.4307393505635403E-2"/>
          <c:h val="0.23708653003487201"/>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lang="zh-CN"/>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2013</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2E-2"/>
          <c:y val="0.12005154235569446"/>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FADA-4385-923E-E2350121F0DD}"/>
              </c:ext>
            </c:extLst>
          </c:dPt>
          <c:dPt>
            <c:idx val="1"/>
            <c:bubble3D val="0"/>
            <c:spPr>
              <a:solidFill>
                <a:srgbClr val="FF0000"/>
              </a:solidFill>
              <a:ln>
                <a:solidFill>
                  <a:schemeClr val="bg1"/>
                </a:solidFill>
              </a:ln>
            </c:spPr>
            <c:extLst>
              <c:ext xmlns:c16="http://schemas.microsoft.com/office/drawing/2014/chart" uri="{C3380CC4-5D6E-409C-BE32-E72D297353CC}">
                <c16:uniqueId val="{00000003-FADA-4385-923E-E2350121F0DD}"/>
              </c:ext>
            </c:extLst>
          </c:dPt>
          <c:dPt>
            <c:idx val="2"/>
            <c:bubble3D val="0"/>
            <c:spPr>
              <a:solidFill>
                <a:srgbClr val="7030A0"/>
              </a:solidFill>
              <a:ln>
                <a:solidFill>
                  <a:schemeClr val="bg1"/>
                </a:solidFill>
              </a:ln>
            </c:spPr>
            <c:extLst>
              <c:ext xmlns:c16="http://schemas.microsoft.com/office/drawing/2014/chart" uri="{C3380CC4-5D6E-409C-BE32-E72D297353CC}">
                <c16:uniqueId val="{00000005-FADA-4385-923E-E2350121F0DD}"/>
              </c:ext>
            </c:extLst>
          </c:dPt>
          <c:dPt>
            <c:idx val="3"/>
            <c:bubble3D val="0"/>
            <c:spPr>
              <a:solidFill>
                <a:srgbClr val="FFC000"/>
              </a:solidFill>
              <a:ln>
                <a:solidFill>
                  <a:schemeClr val="bg1"/>
                </a:solidFill>
              </a:ln>
            </c:spPr>
            <c:extLst>
              <c:ext xmlns:c16="http://schemas.microsoft.com/office/drawing/2014/chart" uri="{C3380CC4-5D6E-409C-BE32-E72D297353CC}">
                <c16:uniqueId val="{00000007-FADA-4385-923E-E2350121F0DD}"/>
              </c:ext>
            </c:extLst>
          </c:dPt>
          <c:dPt>
            <c:idx val="4"/>
            <c:bubble3D val="0"/>
            <c:spPr>
              <a:solidFill>
                <a:srgbClr val="008000"/>
              </a:solidFill>
              <a:ln>
                <a:solidFill>
                  <a:schemeClr val="bg1"/>
                </a:solidFill>
              </a:ln>
            </c:spPr>
            <c:extLst>
              <c:ext xmlns:c16="http://schemas.microsoft.com/office/drawing/2014/chart" uri="{C3380CC4-5D6E-409C-BE32-E72D297353CC}">
                <c16:uniqueId val="{00000009-FADA-4385-923E-E2350121F0DD}"/>
              </c:ext>
            </c:extLst>
          </c:dPt>
          <c:dPt>
            <c:idx val="5"/>
            <c:bubble3D val="0"/>
            <c:spPr>
              <a:solidFill>
                <a:schemeClr val="accent2"/>
              </a:solidFill>
              <a:ln>
                <a:solidFill>
                  <a:schemeClr val="bg1"/>
                </a:solidFill>
              </a:ln>
            </c:spPr>
            <c:extLst>
              <c:ext xmlns:c16="http://schemas.microsoft.com/office/drawing/2014/chart" uri="{C3380CC4-5D6E-409C-BE32-E72D297353CC}">
                <c16:uniqueId val="{0000000B-FADA-4385-923E-E2350121F0DD}"/>
              </c:ext>
            </c:extLst>
          </c:dPt>
          <c:dLbls>
            <c:dLbl>
              <c:idx val="3"/>
              <c:layout>
                <c:manualLayout>
                  <c:x val="0.17386319891831703"/>
                  <c:y val="-7.1260142286030434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721212121212116"/>
                      <c:h val="0.28706765691402547"/>
                    </c:manualLayout>
                  </c15:layout>
                </c:ext>
                <c:ext xmlns:c16="http://schemas.microsoft.com/office/drawing/2014/chart" uri="{C3380CC4-5D6E-409C-BE32-E72D297353CC}">
                  <c16:uniqueId val="{00000007-FADA-4385-923E-E2350121F0DD}"/>
                </c:ext>
              </c:extLst>
            </c:dLbl>
            <c:dLbl>
              <c:idx val="5"/>
              <c:layout>
                <c:manualLayout>
                  <c:x val="0.14688650282351071"/>
                  <c:y val="0.14546988899833638"/>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818181818181817"/>
                      <c:h val="0.23210944405079867"/>
                    </c:manualLayout>
                  </c15:layout>
                </c:ext>
                <c:ext xmlns:c16="http://schemas.microsoft.com/office/drawing/2014/chart" uri="{C3380CC4-5D6E-409C-BE32-E72D297353CC}">
                  <c16:uniqueId val="{0000000B-FADA-4385-923E-E2350121F0DD}"/>
                </c:ext>
              </c:extLst>
            </c:dLbl>
            <c:spPr>
              <a:noFill/>
              <a:ln>
                <a:noFill/>
              </a:ln>
              <a:effectLst/>
            </c:spPr>
            <c:txPr>
              <a:bodyPr wrap="square" lIns="38100" tIns="19050" rIns="38100" bIns="19050" anchor="ctr">
                <a:spAutoFit/>
              </a:bodyPr>
              <a:lstStyle/>
              <a:p>
                <a:pPr>
                  <a:defRPr sz="1100" b="1">
                    <a:solidFill>
                      <a:schemeClr val="bg1"/>
                    </a:solidFill>
                  </a:defRPr>
                </a:pPr>
                <a:endParaRPr lang="en-US"/>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Patents-in-Force'!$L$8:$L$13</c:f>
              <c:numCache>
                <c:formatCode>#,##0</c:formatCode>
                <c:ptCount val="6"/>
                <c:pt idx="0">
                  <c:v>2368820</c:v>
                </c:pt>
                <c:pt idx="1">
                  <c:v>1838177</c:v>
                </c:pt>
                <c:pt idx="2">
                  <c:v>812595</c:v>
                </c:pt>
                <c:pt idx="3">
                  <c:v>1033908</c:v>
                </c:pt>
                <c:pt idx="4">
                  <c:v>2387502</c:v>
                </c:pt>
                <c:pt idx="5">
                  <c:v>1008040</c:v>
                </c:pt>
              </c:numCache>
            </c:numRef>
          </c:val>
          <c:extLst>
            <c:ext xmlns:c16="http://schemas.microsoft.com/office/drawing/2014/chart" uri="{C3380CC4-5D6E-409C-BE32-E72D297353CC}">
              <c16:uniqueId val="{0000000C-FADA-4385-923E-E2350121F0D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FADA-4385-923E-E2350121F0D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FADA-4385-923E-E2350121F0D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FADA-4385-923E-E2350121F0D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FADA-4385-923E-E2350121F0D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FADA-4385-923E-E2350121F0D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FADA-4385-923E-E2350121F0DD}"/>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FADA-4385-923E-E2350121F0DD}"/>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4.xml"/><Relationship Id="rId7" Type="http://schemas.openxmlformats.org/officeDocument/2006/relationships/image" Target="../media/image2.jpeg"/><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11" Type="http://schemas.openxmlformats.org/officeDocument/2006/relationships/chart" Target="../charts/chart31.xml"/><Relationship Id="rId5" Type="http://schemas.openxmlformats.org/officeDocument/2006/relationships/chart" Target="../charts/chart26.xml"/><Relationship Id="rId10" Type="http://schemas.openxmlformats.org/officeDocument/2006/relationships/chart" Target="../charts/chart30.xml"/><Relationship Id="rId4" Type="http://schemas.openxmlformats.org/officeDocument/2006/relationships/chart" Target="../charts/chart25.xml"/><Relationship Id="rId9"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chart" Target="../charts/chart39.xml"/><Relationship Id="rId5" Type="http://schemas.openxmlformats.org/officeDocument/2006/relationships/chart" Target="../charts/chart38.xml"/><Relationship Id="rId4" Type="http://schemas.openxmlformats.org/officeDocument/2006/relationships/chart" Target="../charts/chart37.xml"/></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chart" Target="../charts/chart51.xml"/><Relationship Id="rId5" Type="http://schemas.openxmlformats.org/officeDocument/2006/relationships/chart" Target="../charts/chart50.xml"/><Relationship Id="rId4" Type="http://schemas.openxmlformats.org/officeDocument/2006/relationships/chart" Target="../charts/chart49.xml"/></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 Id="rId5" Type="http://schemas.openxmlformats.org/officeDocument/2006/relationships/chart" Target="../charts/chart61.xml"/><Relationship Id="rId4" Type="http://schemas.openxmlformats.org/officeDocument/2006/relationships/chart" Target="../charts/chart60.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64.xml"/><Relationship Id="rId2" Type="http://schemas.openxmlformats.org/officeDocument/2006/relationships/chart" Target="../charts/chart63.xml"/><Relationship Id="rId1" Type="http://schemas.openxmlformats.org/officeDocument/2006/relationships/chart" Target="../charts/chart62.xml"/></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1.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7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68.xml"/><Relationship Id="rId2" Type="http://schemas.openxmlformats.org/officeDocument/2006/relationships/chart" Target="../charts/chart67.xml"/><Relationship Id="rId1" Type="http://schemas.openxmlformats.org/officeDocument/2006/relationships/chart" Target="../charts/chart66.xml"/><Relationship Id="rId5" Type="http://schemas.openxmlformats.org/officeDocument/2006/relationships/chart" Target="../charts/chart70.xml"/><Relationship Id="rId4" Type="http://schemas.openxmlformats.org/officeDocument/2006/relationships/chart" Target="../charts/chart69.xml"/></Relationships>
</file>

<file path=xl/drawings/_rels/drawing77.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chart" Target="../charts/chart71.xml"/><Relationship Id="rId5" Type="http://schemas.openxmlformats.org/officeDocument/2006/relationships/chart" Target="../charts/chart75.xml"/><Relationship Id="rId4" Type="http://schemas.openxmlformats.org/officeDocument/2006/relationships/chart" Target="../charts/chart74.xml"/></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5" Type="http://schemas.openxmlformats.org/officeDocument/2006/relationships/chart" Target="../charts/chart80.xml"/><Relationship Id="rId4" Type="http://schemas.openxmlformats.org/officeDocument/2006/relationships/chart" Target="../charts/chart79.xml"/></Relationships>
</file>

<file path=xl/drawings/_rels/drawing8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9.xml.rels><?xml version="1.0" encoding="UTF-8" standalone="yes"?>
<Relationships xmlns="http://schemas.openxmlformats.org/package/2006/relationships"><Relationship Id="rId3" Type="http://schemas.openxmlformats.org/officeDocument/2006/relationships/chart" Target="../charts/chart83.xml"/><Relationship Id="rId2" Type="http://schemas.openxmlformats.org/officeDocument/2006/relationships/chart" Target="../charts/chart82.xml"/><Relationship Id="rId1" Type="http://schemas.openxmlformats.org/officeDocument/2006/relationships/chart" Target="../charts/chart81.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833438</xdr:colOff>
      <xdr:row>32</xdr:row>
      <xdr:rowOff>0</xdr:rowOff>
    </xdr:from>
    <xdr:to>
      <xdr:col>5</xdr:col>
      <xdr:colOff>702469</xdr:colOff>
      <xdr:row>48</xdr:row>
      <xdr:rowOff>55467</xdr:rowOff>
    </xdr:to>
    <xdr:graphicFrame macro="">
      <xdr:nvGraphicFramePr>
        <xdr:cNvPr id="8" name="Chart 7">
          <a:extLst>
            <a:ext uri="{FF2B5EF4-FFF2-40B4-BE49-F238E27FC236}">
              <a16:creationId xmlns:a16="http://schemas.microsoft.com/office/drawing/2014/main" id="{F19413F2-3739-47CB-8876-491C360EA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833438</xdr:colOff>
      <xdr:row>49</xdr:row>
      <xdr:rowOff>178594</xdr:rowOff>
    </xdr:from>
    <xdr:to>
      <xdr:col>5</xdr:col>
      <xdr:colOff>702469</xdr:colOff>
      <xdr:row>66</xdr:row>
      <xdr:rowOff>43561</xdr:rowOff>
    </xdr:to>
    <xdr:graphicFrame macro="">
      <xdr:nvGraphicFramePr>
        <xdr:cNvPr id="16" name="Chart 15">
          <a:extLst>
            <a:ext uri="{FF2B5EF4-FFF2-40B4-BE49-F238E27FC236}">
              <a16:creationId xmlns:a16="http://schemas.microsoft.com/office/drawing/2014/main" id="{46D2DBEE-8206-413E-B36B-28C762F24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11907</xdr:colOff>
      <xdr:row>14</xdr:row>
      <xdr:rowOff>1</xdr:rowOff>
    </xdr:from>
    <xdr:to>
      <xdr:col>6</xdr:col>
      <xdr:colOff>11907</xdr:colOff>
      <xdr:row>30</xdr:row>
      <xdr:rowOff>55468</xdr:rowOff>
    </xdr:to>
    <xdr:graphicFrame macro="">
      <xdr:nvGraphicFramePr>
        <xdr:cNvPr id="17" name="Chart 16">
          <a:extLst>
            <a:ext uri="{FF2B5EF4-FFF2-40B4-BE49-F238E27FC236}">
              <a16:creationId xmlns:a16="http://schemas.microsoft.com/office/drawing/2014/main" id="{E6660D84-4D70-4500-B30A-650512687B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0</xdr:colOff>
      <xdr:row>31</xdr:row>
      <xdr:rowOff>178594</xdr:rowOff>
    </xdr:from>
    <xdr:to>
      <xdr:col>36</xdr:col>
      <xdr:colOff>107156</xdr:colOff>
      <xdr:row>48</xdr:row>
      <xdr:rowOff>43561</xdr:rowOff>
    </xdr:to>
    <xdr:graphicFrame macro="">
      <xdr:nvGraphicFramePr>
        <xdr:cNvPr id="19" name="Chart 18">
          <a:extLst>
            <a:ext uri="{FF2B5EF4-FFF2-40B4-BE49-F238E27FC236}">
              <a16:creationId xmlns:a16="http://schemas.microsoft.com/office/drawing/2014/main" id="{331A3EFB-A997-4253-BEF8-1D1FA8F47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0</xdr:colOff>
      <xdr:row>32</xdr:row>
      <xdr:rowOff>0</xdr:rowOff>
    </xdr:from>
    <xdr:to>
      <xdr:col>30</xdr:col>
      <xdr:colOff>107156</xdr:colOff>
      <xdr:row>48</xdr:row>
      <xdr:rowOff>55467</xdr:rowOff>
    </xdr:to>
    <xdr:graphicFrame macro="">
      <xdr:nvGraphicFramePr>
        <xdr:cNvPr id="21" name="Chart 20">
          <a:extLst>
            <a:ext uri="{FF2B5EF4-FFF2-40B4-BE49-F238E27FC236}">
              <a16:creationId xmlns:a16="http://schemas.microsoft.com/office/drawing/2014/main" id="{B2694E04-6A20-407F-AAC2-9336FA742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32</xdr:row>
      <xdr:rowOff>11906</xdr:rowOff>
    </xdr:from>
    <xdr:to>
      <xdr:col>24</xdr:col>
      <xdr:colOff>0</xdr:colOff>
      <xdr:row>48</xdr:row>
      <xdr:rowOff>67373</xdr:rowOff>
    </xdr:to>
    <xdr:graphicFrame macro="">
      <xdr:nvGraphicFramePr>
        <xdr:cNvPr id="23" name="Chart 22">
          <a:extLst>
            <a:ext uri="{FF2B5EF4-FFF2-40B4-BE49-F238E27FC236}">
              <a16:creationId xmlns:a16="http://schemas.microsoft.com/office/drawing/2014/main" id="{6A0C8D08-51E1-44E3-B4CF-357D1F7383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488156</xdr:colOff>
      <xdr:row>32</xdr:row>
      <xdr:rowOff>0</xdr:rowOff>
    </xdr:from>
    <xdr:to>
      <xdr:col>17</xdr:col>
      <xdr:colOff>702468</xdr:colOff>
      <xdr:row>48</xdr:row>
      <xdr:rowOff>55467</xdr:rowOff>
    </xdr:to>
    <xdr:graphicFrame macro="">
      <xdr:nvGraphicFramePr>
        <xdr:cNvPr id="25" name="Chart 24">
          <a:extLst>
            <a:ext uri="{FF2B5EF4-FFF2-40B4-BE49-F238E27FC236}">
              <a16:creationId xmlns:a16="http://schemas.microsoft.com/office/drawing/2014/main" id="{38A27F9E-EDD2-42CB-ABBE-32AABBBDC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11907</xdr:colOff>
      <xdr:row>31</xdr:row>
      <xdr:rowOff>178594</xdr:rowOff>
    </xdr:from>
    <xdr:to>
      <xdr:col>12</xdr:col>
      <xdr:colOff>11907</xdr:colOff>
      <xdr:row>48</xdr:row>
      <xdr:rowOff>43561</xdr:rowOff>
    </xdr:to>
    <xdr:graphicFrame macro="">
      <xdr:nvGraphicFramePr>
        <xdr:cNvPr id="27" name="Chart 26">
          <a:extLst>
            <a:ext uri="{FF2B5EF4-FFF2-40B4-BE49-F238E27FC236}">
              <a16:creationId xmlns:a16="http://schemas.microsoft.com/office/drawing/2014/main" id="{7540D26F-DF5C-4737-814C-15FD4E101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31</xdr:col>
      <xdr:colOff>0</xdr:colOff>
      <xdr:row>14</xdr:row>
      <xdr:rowOff>0</xdr:rowOff>
    </xdr:from>
    <xdr:to>
      <xdr:col>36</xdr:col>
      <xdr:colOff>107156</xdr:colOff>
      <xdr:row>30</xdr:row>
      <xdr:rowOff>55467</xdr:rowOff>
    </xdr:to>
    <xdr:graphicFrame macro="">
      <xdr:nvGraphicFramePr>
        <xdr:cNvPr id="28" name="Chart 27">
          <a:extLst>
            <a:ext uri="{FF2B5EF4-FFF2-40B4-BE49-F238E27FC236}">
              <a16:creationId xmlns:a16="http://schemas.microsoft.com/office/drawing/2014/main" id="{29BE4974-09B6-4914-ABF1-E7A9251A3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25</xdr:col>
      <xdr:colOff>0</xdr:colOff>
      <xdr:row>14</xdr:row>
      <xdr:rowOff>11906</xdr:rowOff>
    </xdr:from>
    <xdr:to>
      <xdr:col>30</xdr:col>
      <xdr:colOff>107156</xdr:colOff>
      <xdr:row>30</xdr:row>
      <xdr:rowOff>67373</xdr:rowOff>
    </xdr:to>
    <xdr:graphicFrame macro="">
      <xdr:nvGraphicFramePr>
        <xdr:cNvPr id="29" name="Chart 28">
          <a:extLst>
            <a:ext uri="{FF2B5EF4-FFF2-40B4-BE49-F238E27FC236}">
              <a16:creationId xmlns:a16="http://schemas.microsoft.com/office/drawing/2014/main" id="{6E9F6FB3-F69B-4E8C-80A4-34C28A41A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0</xdr:colOff>
      <xdr:row>14</xdr:row>
      <xdr:rowOff>11906</xdr:rowOff>
    </xdr:from>
    <xdr:to>
      <xdr:col>24</xdr:col>
      <xdr:colOff>0</xdr:colOff>
      <xdr:row>30</xdr:row>
      <xdr:rowOff>67373</xdr:rowOff>
    </xdr:to>
    <xdr:graphicFrame macro="">
      <xdr:nvGraphicFramePr>
        <xdr:cNvPr id="30" name="Chart 29">
          <a:extLst>
            <a:ext uri="{FF2B5EF4-FFF2-40B4-BE49-F238E27FC236}">
              <a16:creationId xmlns:a16="http://schemas.microsoft.com/office/drawing/2014/main" id="{893D8F16-0B55-4BEE-B0F7-D7DDEE805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14</xdr:row>
      <xdr:rowOff>0</xdr:rowOff>
    </xdr:from>
    <xdr:to>
      <xdr:col>18</xdr:col>
      <xdr:colOff>0</xdr:colOff>
      <xdr:row>30</xdr:row>
      <xdr:rowOff>55467</xdr:rowOff>
    </xdr:to>
    <xdr:graphicFrame macro="">
      <xdr:nvGraphicFramePr>
        <xdr:cNvPr id="31" name="Chart 30">
          <a:extLst>
            <a:ext uri="{FF2B5EF4-FFF2-40B4-BE49-F238E27FC236}">
              <a16:creationId xmlns:a16="http://schemas.microsoft.com/office/drawing/2014/main" id="{3EDA7694-CD03-497D-A33C-7544CEEE0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14</xdr:row>
      <xdr:rowOff>11906</xdr:rowOff>
    </xdr:from>
    <xdr:to>
      <xdr:col>12</xdr:col>
      <xdr:colOff>0</xdr:colOff>
      <xdr:row>30</xdr:row>
      <xdr:rowOff>67373</xdr:rowOff>
    </xdr:to>
    <xdr:graphicFrame macro="">
      <xdr:nvGraphicFramePr>
        <xdr:cNvPr id="32" name="Chart 31">
          <a:extLst>
            <a:ext uri="{FF2B5EF4-FFF2-40B4-BE49-F238E27FC236}">
              <a16:creationId xmlns:a16="http://schemas.microsoft.com/office/drawing/2014/main" id="{07F6461B-B233-44AC-BAE6-EE18F3954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714373</xdr:colOff>
      <xdr:row>92</xdr:row>
      <xdr:rowOff>180974</xdr:rowOff>
    </xdr:from>
    <xdr:to>
      <xdr:col>18</xdr:col>
      <xdr:colOff>488155</xdr:colOff>
      <xdr:row>112</xdr:row>
      <xdr:rowOff>171449</xdr:rowOff>
    </xdr:to>
    <xdr:graphicFrame macro="">
      <xdr:nvGraphicFramePr>
        <xdr:cNvPr id="2" name="Chart 1">
          <a:extLst>
            <a:ext uri="{FF2B5EF4-FFF2-40B4-BE49-F238E27FC236}">
              <a16:creationId xmlns:a16="http://schemas.microsoft.com/office/drawing/2014/main" id="{CBCF6460-ECF0-4CF7-9E23-B2C657BEE3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0</xdr:colOff>
      <xdr:row>115</xdr:row>
      <xdr:rowOff>0</xdr:rowOff>
    </xdr:from>
    <xdr:to>
      <xdr:col>19</xdr:col>
      <xdr:colOff>11906</xdr:colOff>
      <xdr:row>134</xdr:row>
      <xdr:rowOff>180975</xdr:rowOff>
    </xdr:to>
    <xdr:graphicFrame macro="">
      <xdr:nvGraphicFramePr>
        <xdr:cNvPr id="18" name="Chart 17">
          <a:extLst>
            <a:ext uri="{FF2B5EF4-FFF2-40B4-BE49-F238E27FC236}">
              <a16:creationId xmlns:a16="http://schemas.microsoft.com/office/drawing/2014/main" id="{128FC63A-5336-4211-A070-2B804A4031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50</xdr:row>
      <xdr:rowOff>0</xdr:rowOff>
    </xdr:from>
    <xdr:to>
      <xdr:col>12</xdr:col>
      <xdr:colOff>0</xdr:colOff>
      <xdr:row>66</xdr:row>
      <xdr:rowOff>55467</xdr:rowOff>
    </xdr:to>
    <xdr:graphicFrame macro="">
      <xdr:nvGraphicFramePr>
        <xdr:cNvPr id="22" name="Chart 21">
          <a:extLst>
            <a:ext uri="{FF2B5EF4-FFF2-40B4-BE49-F238E27FC236}">
              <a16:creationId xmlns:a16="http://schemas.microsoft.com/office/drawing/2014/main" id="{4F024524-3F19-4B93-B1F5-B952B123E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11906</xdr:colOff>
      <xdr:row>70</xdr:row>
      <xdr:rowOff>11906</xdr:rowOff>
    </xdr:from>
    <xdr:to>
      <xdr:col>19</xdr:col>
      <xdr:colOff>1</xdr:colOff>
      <xdr:row>90</xdr:row>
      <xdr:rowOff>-1</xdr:rowOff>
    </xdr:to>
    <xdr:graphicFrame macro="">
      <xdr:nvGraphicFramePr>
        <xdr:cNvPr id="26" name="Chart 25">
          <a:extLst>
            <a:ext uri="{FF2B5EF4-FFF2-40B4-BE49-F238E27FC236}">
              <a16:creationId xmlns:a16="http://schemas.microsoft.com/office/drawing/2014/main" id="{F046C59F-2C67-40D6-A53E-DEA291BCC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1.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2.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3.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4.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5.xml><?xml version="1.0" encoding="utf-8"?>
<c:userShapes xmlns:c="http://schemas.openxmlformats.org/drawingml/2006/chart">
  <cdr:relSizeAnchor xmlns:cdr="http://schemas.openxmlformats.org/drawingml/2006/chartDrawing">
    <cdr:from>
      <cdr:x>0.88929</cdr:x>
      <cdr:y>0.91103</cdr:y>
    </cdr:from>
    <cdr:to>
      <cdr:x>0.98905</cdr:x>
      <cdr:y>0.98768</cdr:y>
    </cdr:to>
    <cdr:pic>
      <cdr:nvPicPr>
        <cdr:cNvPr id="2" name="图片 1">
          <a:extLst xmlns:a="http://schemas.openxmlformats.org/drawingml/2006/main">
            <a:ext uri="{FF2B5EF4-FFF2-40B4-BE49-F238E27FC236}">
              <a16:creationId xmlns:a16="http://schemas.microsoft.com/office/drawing/2014/main" id="{CD9B16F9-1DEB-4AC8-9911-D80A409D477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34065" y="3462337"/>
          <a:ext cx="654446" cy="29132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6.xml><?xml version="1.0" encoding="utf-8"?>
<c:userShapes xmlns:c="http://schemas.openxmlformats.org/drawingml/2006/chart">
  <cdr:relSizeAnchor xmlns:cdr="http://schemas.openxmlformats.org/drawingml/2006/chartDrawing">
    <cdr:from>
      <cdr:x>0.89331</cdr:x>
      <cdr:y>0.90852</cdr:y>
    </cdr:from>
    <cdr:to>
      <cdr:x>0.99452</cdr:x>
      <cdr:y>0.98142</cdr:y>
    </cdr:to>
    <cdr:pic>
      <cdr:nvPicPr>
        <cdr:cNvPr id="2" name="图片 1">
          <a:extLst xmlns:a="http://schemas.openxmlformats.org/drawingml/2006/main">
            <a:ext uri="{FF2B5EF4-FFF2-40B4-BE49-F238E27FC236}">
              <a16:creationId xmlns:a16="http://schemas.microsoft.com/office/drawing/2014/main" id="{008DFEF6-ED70-4FE3-8C52-0C16283ACB32}"/>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81688" y="3452812"/>
          <a:ext cx="666355" cy="27704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7.xml><?xml version="1.0" encoding="utf-8"?>
<c:userShapes xmlns:c="http://schemas.openxmlformats.org/drawingml/2006/chart">
  <cdr:relSizeAnchor xmlns:cdr="http://schemas.openxmlformats.org/drawingml/2006/chartDrawing">
    <cdr:from>
      <cdr:x>0.75879</cdr:x>
      <cdr:y>0.88464</cdr:y>
    </cdr:from>
    <cdr:to>
      <cdr:x>0.98618</cdr:x>
      <cdr:y>0.98318</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385080" y="2745441"/>
          <a:ext cx="714743" cy="3058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8.xml><?xml version="1.0" encoding="utf-8"?>
<c:userShapes xmlns:c="http://schemas.openxmlformats.org/drawingml/2006/chart">
  <cdr:relSizeAnchor xmlns:cdr="http://schemas.openxmlformats.org/drawingml/2006/chartDrawing">
    <cdr:from>
      <cdr:x>0.88929</cdr:x>
      <cdr:y>0.91103</cdr:y>
    </cdr:from>
    <cdr:to>
      <cdr:x>0.98905</cdr:x>
      <cdr:y>0.98768</cdr:y>
    </cdr:to>
    <cdr:pic>
      <cdr:nvPicPr>
        <cdr:cNvPr id="2" name="图片 1">
          <a:extLst xmlns:a="http://schemas.openxmlformats.org/drawingml/2006/main">
            <a:ext uri="{FF2B5EF4-FFF2-40B4-BE49-F238E27FC236}">
              <a16:creationId xmlns:a16="http://schemas.microsoft.com/office/drawing/2014/main" id="{CD9B16F9-1DEB-4AC8-9911-D80A409D477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34065" y="3462337"/>
          <a:ext cx="654446" cy="29132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9.xml><?xml version="1.0" encoding="utf-8"?>
<xdr:wsDr xmlns:xdr="http://schemas.openxmlformats.org/drawingml/2006/spreadsheetDrawing" xmlns:a="http://schemas.openxmlformats.org/drawingml/2006/main">
  <xdr:twoCellAnchor>
    <xdr:from>
      <xdr:col>13</xdr:col>
      <xdr:colOff>2380</xdr:colOff>
      <xdr:row>5</xdr:row>
      <xdr:rowOff>180973</xdr:rowOff>
    </xdr:from>
    <xdr:to>
      <xdr:col>24</xdr:col>
      <xdr:colOff>607217</xdr:colOff>
      <xdr:row>28</xdr:row>
      <xdr:rowOff>23812</xdr:rowOff>
    </xdr:to>
    <xdr:graphicFrame macro="">
      <xdr:nvGraphicFramePr>
        <xdr:cNvPr id="3" name="Chart 2">
          <a:extLst>
            <a:ext uri="{FF2B5EF4-FFF2-40B4-BE49-F238E27FC236}">
              <a16:creationId xmlns:a16="http://schemas.microsoft.com/office/drawing/2014/main" id="{DF31E088-C7F8-44FC-B1CB-3B322C232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2380</xdr:colOff>
      <xdr:row>32</xdr:row>
      <xdr:rowOff>180974</xdr:rowOff>
    </xdr:from>
    <xdr:to>
      <xdr:col>24</xdr:col>
      <xdr:colOff>595312</xdr:colOff>
      <xdr:row>53</xdr:row>
      <xdr:rowOff>107156</xdr:rowOff>
    </xdr:to>
    <xdr:graphicFrame macro="">
      <xdr:nvGraphicFramePr>
        <xdr:cNvPr id="5" name="Chart 4">
          <a:extLst>
            <a:ext uri="{FF2B5EF4-FFF2-40B4-BE49-F238E27FC236}">
              <a16:creationId xmlns:a16="http://schemas.microsoft.com/office/drawing/2014/main" id="{4D112912-6B89-4123-9D32-E570C1E9D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55</xdr:row>
      <xdr:rowOff>11906</xdr:rowOff>
    </xdr:from>
    <xdr:to>
      <xdr:col>23</xdr:col>
      <xdr:colOff>354193</xdr:colOff>
      <xdr:row>75</xdr:row>
      <xdr:rowOff>119061</xdr:rowOff>
    </xdr:to>
    <xdr:graphicFrame macro="">
      <xdr:nvGraphicFramePr>
        <xdr:cNvPr id="7" name="Chart 6">
          <a:extLst>
            <a:ext uri="{FF2B5EF4-FFF2-40B4-BE49-F238E27FC236}">
              <a16:creationId xmlns:a16="http://schemas.microsoft.com/office/drawing/2014/main" id="{0917611E-0786-468A-B15E-70361606B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23812</xdr:colOff>
      <xdr:row>76</xdr:row>
      <xdr:rowOff>71437</xdr:rowOff>
    </xdr:from>
    <xdr:to>
      <xdr:col>23</xdr:col>
      <xdr:colOff>378005</xdr:colOff>
      <xdr:row>95</xdr:row>
      <xdr:rowOff>71437</xdr:rowOff>
    </xdr:to>
    <xdr:graphicFrame macro="">
      <xdr:nvGraphicFramePr>
        <xdr:cNvPr id="8" name="Chart 7">
          <a:extLst>
            <a:ext uri="{FF2B5EF4-FFF2-40B4-BE49-F238E27FC236}">
              <a16:creationId xmlns:a16="http://schemas.microsoft.com/office/drawing/2014/main" id="{C20763E8-3CAB-4CDE-AEAA-615B085B6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0.xml><?xml version="1.0" encoding="utf-8"?>
<c:userShapes xmlns:c="http://schemas.openxmlformats.org/drawingml/2006/chart">
  <cdr:relSizeAnchor xmlns:cdr="http://schemas.openxmlformats.org/drawingml/2006/chartDrawing">
    <cdr:from>
      <cdr:x>0.86818</cdr:x>
      <cdr:y>0.89793</cdr:y>
    </cdr:from>
    <cdr:to>
      <cdr:x>0.98904</cdr:x>
      <cdr:y>0.98316</cdr:y>
    </cdr:to>
    <cdr:pic>
      <cdr:nvPicPr>
        <cdr:cNvPr id="2" name="图片 1">
          <a:extLst xmlns:a="http://schemas.openxmlformats.org/drawingml/2006/main">
            <a:ext uri="{FF2B5EF4-FFF2-40B4-BE49-F238E27FC236}">
              <a16:creationId xmlns:a16="http://schemas.microsoft.com/office/drawing/2014/main" id="{97E67A2E-3638-432A-B168-4600EB1955D4}"/>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13425" y="3575050"/>
          <a:ext cx="809231" cy="3393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1.xml><?xml version="1.0" encoding="utf-8"?>
<c:userShapes xmlns:c="http://schemas.openxmlformats.org/drawingml/2006/chart">
  <cdr:relSizeAnchor xmlns:cdr="http://schemas.openxmlformats.org/drawingml/2006/chartDrawing">
    <cdr:from>
      <cdr:x>0.85965</cdr:x>
      <cdr:y>0.87073</cdr:y>
    </cdr:from>
    <cdr:to>
      <cdr:x>0.9805</cdr:x>
      <cdr:y>0.96942</cdr:y>
    </cdr:to>
    <cdr:pic>
      <cdr:nvPicPr>
        <cdr:cNvPr id="3" name="图片 1">
          <a:extLst xmlns:a="http://schemas.openxmlformats.org/drawingml/2006/main">
            <a:ext uri="{FF2B5EF4-FFF2-40B4-BE49-F238E27FC236}">
              <a16:creationId xmlns:a16="http://schemas.microsoft.com/office/drawing/2014/main" id="{9948358D-FD82-4B4D-96DD-BE32A8F1DD4F}"/>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756275" y="2994025"/>
          <a:ext cx="809231" cy="3393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2.xml><?xml version="1.0" encoding="utf-8"?>
<c:userShapes xmlns:c="http://schemas.openxmlformats.org/drawingml/2006/chart">
  <cdr:relSizeAnchor xmlns:cdr="http://schemas.openxmlformats.org/drawingml/2006/chartDrawing">
    <cdr:from>
      <cdr:x>0.79961</cdr:x>
      <cdr:y>0.90602</cdr:y>
    </cdr:from>
    <cdr:to>
      <cdr:x>0.90043</cdr:x>
      <cdr:y>0.97525</cdr:y>
    </cdr:to>
    <cdr:pic>
      <cdr:nvPicPr>
        <cdr:cNvPr id="4" name="Picture 1" descr="Five_IP_Offices_4c_small">
          <a:extLst xmlns:a="http://schemas.openxmlformats.org/drawingml/2006/main">
            <a:ext uri="{FF2B5EF4-FFF2-40B4-BE49-F238E27FC236}">
              <a16:creationId xmlns:a16="http://schemas.microsoft.com/office/drawing/2014/main" id="{8F2261A0-CF73-46EB-9ED1-1A7F1E6667F3}"/>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38596" y="3549024"/>
          <a:ext cx="647907" cy="2711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0.02346</cdr:x>
      <cdr:y>0.0163</cdr:y>
    </cdr:from>
    <cdr:to>
      <cdr:x>0.95785</cdr:x>
      <cdr:y>0.10236</cdr:y>
    </cdr:to>
    <cdr:sp macro="" textlink="">
      <cdr:nvSpPr>
        <cdr:cNvPr id="5" name="TextBox 2">
          <a:extLst xmlns:a="http://schemas.openxmlformats.org/drawingml/2006/main">
            <a:ext uri="{FF2B5EF4-FFF2-40B4-BE49-F238E27FC236}">
              <a16:creationId xmlns:a16="http://schemas.microsoft.com/office/drawing/2014/main" id="{B6D6334B-088F-4655-9F79-EBB7BDFB1339}"/>
            </a:ext>
          </a:extLst>
        </cdr:cNvPr>
        <cdr:cNvSpPr txBox="1"/>
      </cdr:nvSpPr>
      <cdr:spPr>
        <a:xfrm xmlns:a="http://schemas.openxmlformats.org/drawingml/2006/main">
          <a:off x="150763" y="58998"/>
          <a:ext cx="6004768" cy="311496"/>
        </a:xfrm>
        <a:prstGeom xmlns:a="http://schemas.openxmlformats.org/drawingml/2006/main" prst="rect">
          <a:avLst/>
        </a:prstGeom>
      </cdr:spPr>
      <cdr:txBody>
        <a:bodyPr xmlns:a="http://schemas.openxmlformats.org/drawingml/2006/main" vertOverflow="clip" wrap="square" rtlCol="0">
          <a:spAutoFit/>
        </a:bodyPr>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US" sz="1400" b="1" i="0" baseline="0">
              <a:effectLst/>
              <a:latin typeface="+mn-lt"/>
              <a:ea typeface="+mn-ea"/>
              <a:cs typeface="+mn-cs"/>
            </a:rPr>
            <a:t>Fig. 2.5 CROSS FILINGS 2020 - MOST FREQUENT OFFICES COMBINATIONS</a:t>
          </a:r>
          <a:endParaRPr lang="en-GB" sz="1400">
            <a:effectLs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0.88854</cdr:x>
      <cdr:y>0.9121</cdr:y>
    </cdr:from>
    <cdr:to>
      <cdr:x>0.98936</cdr:x>
      <cdr:y>0.98133</cdr:y>
    </cdr:to>
    <cdr:pic>
      <cdr:nvPicPr>
        <cdr:cNvPr id="2" name="Picture 1" descr="Five_IP_Offices_4c_small">
          <a:extLst xmlns:a="http://schemas.openxmlformats.org/drawingml/2006/main">
            <a:ext uri="{FF2B5EF4-FFF2-40B4-BE49-F238E27FC236}">
              <a16:creationId xmlns:a16="http://schemas.microsoft.com/office/drawing/2014/main" id="{8F2261A0-CF73-46EB-9ED1-1A7F1E6667F3}"/>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0.02346</cdr:x>
      <cdr:y>0.0163</cdr:y>
    </cdr:from>
    <cdr:to>
      <cdr:x>0.89852</cdr:x>
      <cdr:y>0.10236</cdr:y>
    </cdr:to>
    <cdr:sp macro="" textlink="">
      <cdr:nvSpPr>
        <cdr:cNvPr id="3" name="TextBox 2">
          <a:extLst xmlns:a="http://schemas.openxmlformats.org/drawingml/2006/main">
            <a:ext uri="{FF2B5EF4-FFF2-40B4-BE49-F238E27FC236}">
              <a16:creationId xmlns:a16="http://schemas.microsoft.com/office/drawing/2014/main" id="{B6D6334B-088F-4655-9F79-EBB7BDFB1339}"/>
            </a:ext>
          </a:extLst>
        </cdr:cNvPr>
        <cdr:cNvSpPr txBox="1"/>
      </cdr:nvSpPr>
      <cdr:spPr>
        <a:xfrm xmlns:a="http://schemas.openxmlformats.org/drawingml/2006/main">
          <a:off x="150763" y="58998"/>
          <a:ext cx="5623463"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GB" sz="1400" b="1">
              <a:effectLst/>
            </a:rPr>
            <a:t>Fig.</a:t>
          </a:r>
          <a:r>
            <a:rPr lang="en-GB" sz="1400" b="1" baseline="0">
              <a:effectLst/>
            </a:rPr>
            <a:t> 2.5 CROOS FILINGS 2019 - MOST FREQUENT OFFICES COMBINATIONS</a:t>
          </a:r>
          <a:endParaRPr lang="en-GB" sz="1400" b="1">
            <a:effectLst/>
          </a:endParaRPr>
        </a:p>
      </cdr:txBody>
    </cdr:sp>
  </cdr:relSizeAnchor>
  <cdr:relSizeAnchor xmlns:cdr="http://schemas.openxmlformats.org/drawingml/2006/chartDrawing">
    <cdr:from>
      <cdr:x>0.88854</cdr:x>
      <cdr:y>0.9121</cdr:y>
    </cdr:from>
    <cdr:to>
      <cdr:x>0.98936</cdr:x>
      <cdr:y>0.98133</cdr:y>
    </cdr:to>
    <cdr:pic>
      <cdr:nvPicPr>
        <cdr:cNvPr id="4" name="Picture 1" descr="Five_IP_Offices_4c_small">
          <a:extLst xmlns:a="http://schemas.openxmlformats.org/drawingml/2006/main">
            <a:ext uri="{FF2B5EF4-FFF2-40B4-BE49-F238E27FC236}">
              <a16:creationId xmlns:a16="http://schemas.microsoft.com/office/drawing/2014/main" id="{8F2261A0-CF73-46EB-9ED1-1A7F1E6667F3}"/>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0.88854</cdr:x>
      <cdr:y>0.9121</cdr:y>
    </cdr:from>
    <cdr:to>
      <cdr:x>0.98936</cdr:x>
      <cdr:y>0.98133</cdr:y>
    </cdr:to>
    <cdr:pic>
      <cdr:nvPicPr>
        <cdr:cNvPr id="6" name="Picture 1" descr="Five_IP_Offices_4c_small">
          <a:extLst xmlns:a="http://schemas.openxmlformats.org/drawingml/2006/main">
            <a:ext uri="{FF2B5EF4-FFF2-40B4-BE49-F238E27FC236}">
              <a16:creationId xmlns:a16="http://schemas.microsoft.com/office/drawing/2014/main" id="{8F2261A0-CF73-46EB-9ED1-1A7F1E6667F3}"/>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4.xml><?xml version="1.0" encoding="utf-8"?>
<xdr:wsDr xmlns:xdr="http://schemas.openxmlformats.org/drawingml/2006/spreadsheetDrawing" xmlns:a="http://schemas.openxmlformats.org/drawingml/2006/main">
  <xdr:twoCellAnchor>
    <xdr:from>
      <xdr:col>28</xdr:col>
      <xdr:colOff>23812</xdr:colOff>
      <xdr:row>56</xdr:row>
      <xdr:rowOff>23811</xdr:rowOff>
    </xdr:from>
    <xdr:to>
      <xdr:col>35</xdr:col>
      <xdr:colOff>571500</xdr:colOff>
      <xdr:row>70</xdr:row>
      <xdr:rowOff>178592</xdr:rowOff>
    </xdr:to>
    <xdr:graphicFrame macro="">
      <xdr:nvGraphicFramePr>
        <xdr:cNvPr id="6" name="Chart 5">
          <a:extLst>
            <a:ext uri="{FF2B5EF4-FFF2-40B4-BE49-F238E27FC236}">
              <a16:creationId xmlns:a16="http://schemas.microsoft.com/office/drawing/2014/main" id="{65A3D3D6-CE99-4630-80DE-F6795F7D8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23812</xdr:colOff>
      <xdr:row>56</xdr:row>
      <xdr:rowOff>23811</xdr:rowOff>
    </xdr:from>
    <xdr:to>
      <xdr:col>43</xdr:col>
      <xdr:colOff>571500</xdr:colOff>
      <xdr:row>70</xdr:row>
      <xdr:rowOff>178592</xdr:rowOff>
    </xdr:to>
    <xdr:graphicFrame macro="">
      <xdr:nvGraphicFramePr>
        <xdr:cNvPr id="7" name="Chart 6">
          <a:extLst>
            <a:ext uri="{FF2B5EF4-FFF2-40B4-BE49-F238E27FC236}">
              <a16:creationId xmlns:a16="http://schemas.microsoft.com/office/drawing/2014/main" id="{1F88A741-739C-4816-A0D9-F56C689E8A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44</xdr:col>
      <xdr:colOff>23812</xdr:colOff>
      <xdr:row>56</xdr:row>
      <xdr:rowOff>23811</xdr:rowOff>
    </xdr:from>
    <xdr:to>
      <xdr:col>51</xdr:col>
      <xdr:colOff>571500</xdr:colOff>
      <xdr:row>70</xdr:row>
      <xdr:rowOff>178592</xdr:rowOff>
    </xdr:to>
    <xdr:graphicFrame macro="">
      <xdr:nvGraphicFramePr>
        <xdr:cNvPr id="8" name="Chart 7">
          <a:extLst>
            <a:ext uri="{FF2B5EF4-FFF2-40B4-BE49-F238E27FC236}">
              <a16:creationId xmlns:a16="http://schemas.microsoft.com/office/drawing/2014/main" id="{DA8A6933-CA1F-44A6-A8ED-C1B452308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23812</xdr:colOff>
      <xdr:row>71</xdr:row>
      <xdr:rowOff>11906</xdr:rowOff>
    </xdr:from>
    <xdr:to>
      <xdr:col>35</xdr:col>
      <xdr:colOff>571500</xdr:colOff>
      <xdr:row>85</xdr:row>
      <xdr:rowOff>154780</xdr:rowOff>
    </xdr:to>
    <xdr:graphicFrame macro="">
      <xdr:nvGraphicFramePr>
        <xdr:cNvPr id="9" name="Chart 8">
          <a:extLst>
            <a:ext uri="{FF2B5EF4-FFF2-40B4-BE49-F238E27FC236}">
              <a16:creationId xmlns:a16="http://schemas.microsoft.com/office/drawing/2014/main" id="{4D48D033-A56B-41E4-956C-1D937459AA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0</xdr:colOff>
      <xdr:row>71</xdr:row>
      <xdr:rowOff>11906</xdr:rowOff>
    </xdr:from>
    <xdr:to>
      <xdr:col>43</xdr:col>
      <xdr:colOff>547688</xdr:colOff>
      <xdr:row>85</xdr:row>
      <xdr:rowOff>154780</xdr:rowOff>
    </xdr:to>
    <xdr:graphicFrame macro="">
      <xdr:nvGraphicFramePr>
        <xdr:cNvPr id="10" name="Chart 9">
          <a:extLst>
            <a:ext uri="{FF2B5EF4-FFF2-40B4-BE49-F238E27FC236}">
              <a16:creationId xmlns:a16="http://schemas.microsoft.com/office/drawing/2014/main" id="{CC897806-FA66-42F2-8497-59AFE7CB6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44</xdr:col>
      <xdr:colOff>11906</xdr:colOff>
      <xdr:row>71</xdr:row>
      <xdr:rowOff>11906</xdr:rowOff>
    </xdr:from>
    <xdr:to>
      <xdr:col>51</xdr:col>
      <xdr:colOff>559594</xdr:colOff>
      <xdr:row>85</xdr:row>
      <xdr:rowOff>154780</xdr:rowOff>
    </xdr:to>
    <xdr:graphicFrame macro="">
      <xdr:nvGraphicFramePr>
        <xdr:cNvPr id="11" name="Chart 10">
          <a:extLst>
            <a:ext uri="{FF2B5EF4-FFF2-40B4-BE49-F238E27FC236}">
              <a16:creationId xmlns:a16="http://schemas.microsoft.com/office/drawing/2014/main" id="{5A2184BB-66A7-4FBC-A414-AC21B46BF4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49</xdr:col>
      <xdr:colOff>488156</xdr:colOff>
      <xdr:row>54</xdr:row>
      <xdr:rowOff>59531</xdr:rowOff>
    </xdr:from>
    <xdr:to>
      <xdr:col>51</xdr:col>
      <xdr:colOff>446184</xdr:colOff>
      <xdr:row>55</xdr:row>
      <xdr:rowOff>178605</xdr:rowOff>
    </xdr:to>
    <xdr:pic>
      <xdr:nvPicPr>
        <xdr:cNvPr id="12" name="图片 1">
          <a:extLst>
            <a:ext uri="{FF2B5EF4-FFF2-40B4-BE49-F238E27FC236}">
              <a16:creationId xmlns:a16="http://schemas.microsoft.com/office/drawing/2014/main" id="{82248A53-A4B1-4263-A168-4CD7AAF13245}"/>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32611219" y="10513219"/>
          <a:ext cx="1172466" cy="3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7142</xdr:colOff>
      <xdr:row>31</xdr:row>
      <xdr:rowOff>9525</xdr:rowOff>
    </xdr:from>
    <xdr:to>
      <xdr:col>44</xdr:col>
      <xdr:colOff>7143</xdr:colOff>
      <xdr:row>53</xdr:row>
      <xdr:rowOff>9524</xdr:rowOff>
    </xdr:to>
    <xdr:graphicFrame macro="">
      <xdr:nvGraphicFramePr>
        <xdr:cNvPr id="15" name="Chart 14">
          <a:extLst>
            <a:ext uri="{FF2B5EF4-FFF2-40B4-BE49-F238E27FC236}">
              <a16:creationId xmlns:a16="http://schemas.microsoft.com/office/drawing/2014/main" id="{426A760A-C89B-4092-B4A2-9A04F8086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26</xdr:col>
      <xdr:colOff>600075</xdr:colOff>
      <xdr:row>8</xdr:row>
      <xdr:rowOff>0</xdr:rowOff>
    </xdr:from>
    <xdr:to>
      <xdr:col>43</xdr:col>
      <xdr:colOff>587375</xdr:colOff>
      <xdr:row>29</xdr:row>
      <xdr:rowOff>177799</xdr:rowOff>
    </xdr:to>
    <xdr:graphicFrame macro="">
      <xdr:nvGraphicFramePr>
        <xdr:cNvPr id="16" name="Chart 15">
          <a:extLst>
            <a:ext uri="{FF2B5EF4-FFF2-40B4-BE49-F238E27FC236}">
              <a16:creationId xmlns:a16="http://schemas.microsoft.com/office/drawing/2014/main" id="{F81CA415-09FB-4FC8-892B-38210FEDA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44</xdr:col>
      <xdr:colOff>595312</xdr:colOff>
      <xdr:row>8</xdr:row>
      <xdr:rowOff>0</xdr:rowOff>
    </xdr:from>
    <xdr:to>
      <xdr:col>57</xdr:col>
      <xdr:colOff>11906</xdr:colOff>
      <xdr:row>29</xdr:row>
      <xdr:rowOff>190499</xdr:rowOff>
    </xdr:to>
    <xdr:graphicFrame macro="">
      <xdr:nvGraphicFramePr>
        <xdr:cNvPr id="17" name="Chart 16">
          <a:extLst>
            <a:ext uri="{FF2B5EF4-FFF2-40B4-BE49-F238E27FC236}">
              <a16:creationId xmlns:a16="http://schemas.microsoft.com/office/drawing/2014/main" id="{B247657C-0BD9-465E-9073-11AB33904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44</xdr:col>
      <xdr:colOff>607218</xdr:colOff>
      <xdr:row>30</xdr:row>
      <xdr:rowOff>188118</xdr:rowOff>
    </xdr:from>
    <xdr:to>
      <xdr:col>57</xdr:col>
      <xdr:colOff>0</xdr:colOff>
      <xdr:row>52</xdr:row>
      <xdr:rowOff>188117</xdr:rowOff>
    </xdr:to>
    <xdr:graphicFrame macro="">
      <xdr:nvGraphicFramePr>
        <xdr:cNvPr id="13" name="Chart 12">
          <a:extLst>
            <a:ext uri="{FF2B5EF4-FFF2-40B4-BE49-F238E27FC236}">
              <a16:creationId xmlns:a16="http://schemas.microsoft.com/office/drawing/2014/main" id="{A519DCE8-3E85-4494-AB1F-0EAE83D26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0.87114</cdr:x>
      <cdr:y>0.90625</cdr:y>
    </cdr:from>
    <cdr:to>
      <cdr:x>0.99182</cdr:x>
      <cdr:y>0.99148</cdr:y>
    </cdr:to>
    <cdr:pic>
      <cdr:nvPicPr>
        <cdr:cNvPr id="2" name="图片 1">
          <a:extLst xmlns:a="http://schemas.openxmlformats.org/drawingml/2006/main">
            <a:ext uri="{FF2B5EF4-FFF2-40B4-BE49-F238E27FC236}">
              <a16:creationId xmlns:a16="http://schemas.microsoft.com/office/drawing/2014/main" id="{875A36B2-D0BA-448D-8F9E-41513642F66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463561" y="3798093"/>
          <a:ext cx="1172466" cy="3571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6.xml><?xml version="1.0" encoding="utf-8"?>
<c:userShapes xmlns:c="http://schemas.openxmlformats.org/drawingml/2006/chart">
  <cdr:relSizeAnchor xmlns:cdr="http://schemas.openxmlformats.org/drawingml/2006/chartDrawing">
    <cdr:from>
      <cdr:x>0.87114</cdr:x>
      <cdr:y>0.90625</cdr:y>
    </cdr:from>
    <cdr:to>
      <cdr:x>0.99182</cdr:x>
      <cdr:y>0.99148</cdr:y>
    </cdr:to>
    <cdr:pic>
      <cdr:nvPicPr>
        <cdr:cNvPr id="2" name="图片 1">
          <a:extLst xmlns:a="http://schemas.openxmlformats.org/drawingml/2006/main">
            <a:ext uri="{FF2B5EF4-FFF2-40B4-BE49-F238E27FC236}">
              <a16:creationId xmlns:a16="http://schemas.microsoft.com/office/drawing/2014/main" id="{875A36B2-D0BA-448D-8F9E-41513642F66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463564" y="3798094"/>
          <a:ext cx="1172431" cy="35718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0.71765</cdr:x>
      <cdr:y>0.91725</cdr:y>
    </cdr:from>
    <cdr:to>
      <cdr:x>0.85784</cdr:x>
      <cdr:y>0.98038</cdr:y>
    </cdr:to>
    <cdr:sp macro="" textlink="">
      <cdr:nvSpPr>
        <cdr:cNvPr id="3" name="TextBox 2">
          <a:extLst xmlns:a="http://schemas.openxmlformats.org/drawingml/2006/main">
            <a:ext uri="{FF2B5EF4-FFF2-40B4-BE49-F238E27FC236}">
              <a16:creationId xmlns:a16="http://schemas.microsoft.com/office/drawing/2014/main" id="{E2C3A954-245B-442C-9B12-9E5DEA03E5B5}"/>
            </a:ext>
          </a:extLst>
        </cdr:cNvPr>
        <cdr:cNvSpPr txBox="1"/>
      </cdr:nvSpPr>
      <cdr:spPr>
        <a:xfrm xmlns:a="http://schemas.openxmlformats.org/drawingml/2006/main">
          <a:off x="6959871" y="3844202"/>
          <a:ext cx="1359647" cy="264560"/>
        </a:xfrm>
        <a:prstGeom xmlns:a="http://schemas.openxmlformats.org/drawingml/2006/main" prst="rect">
          <a:avLst/>
        </a:prstGeom>
      </cdr:spPr>
      <cdr:txBody>
        <a:bodyPr xmlns:a="http://schemas.openxmlformats.org/drawingml/2006/main" vertOverflow="clip" wrap="square" rtlCol="0">
          <a:spAutoFit/>
        </a:bodyPr>
        <a:lstStyle xmlns:a="http://schemas.openxmlformats.org/drawingml/2006/main"/>
        <a:p xmlns:a="http://schemas.openxmlformats.org/drawingml/2006/main">
          <a:r>
            <a:rPr lang="en-GB" sz="1100" i="1"/>
            <a:t>(Total</a:t>
          </a:r>
          <a:r>
            <a:rPr lang="en-GB" sz="1100" i="1" baseline="0"/>
            <a:t> in thousand)</a:t>
          </a:r>
          <a:endParaRPr lang="en-GB" sz="1100" i="1"/>
        </a:p>
      </cdr:txBody>
    </cdr:sp>
  </cdr:relSizeAnchor>
</c:userShapes>
</file>

<file path=xl/drawings/drawing27.xml><?xml version="1.0" encoding="utf-8"?>
<c:userShapes xmlns:c="http://schemas.openxmlformats.org/drawingml/2006/chart">
  <cdr:relSizeAnchor xmlns:cdr="http://schemas.openxmlformats.org/drawingml/2006/chartDrawing">
    <cdr:from>
      <cdr:x>0.87114</cdr:x>
      <cdr:y>0.90625</cdr:y>
    </cdr:from>
    <cdr:to>
      <cdr:x>0.99182</cdr:x>
      <cdr:y>0.99148</cdr:y>
    </cdr:to>
    <cdr:pic>
      <cdr:nvPicPr>
        <cdr:cNvPr id="2" name="图片 1">
          <a:extLst xmlns:a="http://schemas.openxmlformats.org/drawingml/2006/main">
            <a:ext uri="{FF2B5EF4-FFF2-40B4-BE49-F238E27FC236}">
              <a16:creationId xmlns:a16="http://schemas.microsoft.com/office/drawing/2014/main" id="{875A36B2-D0BA-448D-8F9E-41513642F66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463564" y="3798094"/>
          <a:ext cx="1172431" cy="35718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8.xml><?xml version="1.0" encoding="utf-8"?>
<c:userShapes xmlns:c="http://schemas.openxmlformats.org/drawingml/2006/chart">
  <cdr:relSizeAnchor xmlns:cdr="http://schemas.openxmlformats.org/drawingml/2006/chartDrawing">
    <cdr:from>
      <cdr:x>0.87114</cdr:x>
      <cdr:y>0.90625</cdr:y>
    </cdr:from>
    <cdr:to>
      <cdr:x>0.99182</cdr:x>
      <cdr:y>0.99148</cdr:y>
    </cdr:to>
    <cdr:pic>
      <cdr:nvPicPr>
        <cdr:cNvPr id="2" name="图片 1">
          <a:extLst xmlns:a="http://schemas.openxmlformats.org/drawingml/2006/main">
            <a:ext uri="{FF2B5EF4-FFF2-40B4-BE49-F238E27FC236}">
              <a16:creationId xmlns:a16="http://schemas.microsoft.com/office/drawing/2014/main" id="{875A36B2-D0BA-448D-8F9E-41513642F66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463561" y="3798093"/>
          <a:ext cx="1172466" cy="3571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9.xml><?xml version="1.0" encoding="utf-8"?>
<xdr:wsDr xmlns:xdr="http://schemas.openxmlformats.org/drawingml/2006/spreadsheetDrawing" xmlns:a="http://schemas.openxmlformats.org/drawingml/2006/main">
  <xdr:twoCellAnchor>
    <xdr:from>
      <xdr:col>1</xdr:col>
      <xdr:colOff>0</xdr:colOff>
      <xdr:row>14</xdr:row>
      <xdr:rowOff>-1</xdr:rowOff>
    </xdr:from>
    <xdr:to>
      <xdr:col>17</xdr:col>
      <xdr:colOff>11906</xdr:colOff>
      <xdr:row>38</xdr:row>
      <xdr:rowOff>-1</xdr:rowOff>
    </xdr:to>
    <xdr:graphicFrame macro="">
      <xdr:nvGraphicFramePr>
        <xdr:cNvPr id="3" name="Chart 2">
          <a:extLst>
            <a:ext uri="{FF2B5EF4-FFF2-40B4-BE49-F238E27FC236}">
              <a16:creationId xmlns:a16="http://schemas.microsoft.com/office/drawing/2014/main" id="{630E05CA-4BF1-4A2B-8EF5-387A21D34B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11906</xdr:colOff>
      <xdr:row>14</xdr:row>
      <xdr:rowOff>0</xdr:rowOff>
    </xdr:from>
    <xdr:to>
      <xdr:col>29</xdr:col>
      <xdr:colOff>47623</xdr:colOff>
      <xdr:row>38</xdr:row>
      <xdr:rowOff>0</xdr:rowOff>
    </xdr:to>
    <xdr:graphicFrame macro="">
      <xdr:nvGraphicFramePr>
        <xdr:cNvPr id="4" name="Chart 3">
          <a:extLst>
            <a:ext uri="{FF2B5EF4-FFF2-40B4-BE49-F238E27FC236}">
              <a16:creationId xmlns:a16="http://schemas.microsoft.com/office/drawing/2014/main" id="{EC90A624-2308-499F-8640-E8B4FBA3F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0.xml><?xml version="1.0" encoding="utf-8"?>
<c:userShapes xmlns:c="http://schemas.openxmlformats.org/drawingml/2006/chart">
  <cdr:relSizeAnchor xmlns:cdr="http://schemas.openxmlformats.org/drawingml/2006/chartDrawing">
    <cdr:from>
      <cdr:x>0.88131</cdr:x>
      <cdr:y>0.90955</cdr:y>
    </cdr:from>
    <cdr:to>
      <cdr:x>0.98714</cdr:x>
      <cdr:y>0.98768</cdr:y>
    </cdr:to>
    <cdr:pic>
      <cdr:nvPicPr>
        <cdr:cNvPr id="2" name="图片 1">
          <a:extLst xmlns:a="http://schemas.openxmlformats.org/drawingml/2006/main">
            <a:ext uri="{FF2B5EF4-FFF2-40B4-BE49-F238E27FC236}">
              <a16:creationId xmlns:a16="http://schemas.microsoft.com/office/drawing/2014/main" id="{158BED31-F524-499C-A142-69DE6FA049FF}"/>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738" y="4158456"/>
          <a:ext cx="952629" cy="3571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1.xml><?xml version="1.0" encoding="utf-8"?>
<c:userShapes xmlns:c="http://schemas.openxmlformats.org/drawingml/2006/chart">
  <cdr:relSizeAnchor xmlns:cdr="http://schemas.openxmlformats.org/drawingml/2006/chartDrawing">
    <cdr:from>
      <cdr:x>0.88131</cdr:x>
      <cdr:y>0.91406</cdr:y>
    </cdr:from>
    <cdr:to>
      <cdr:x>0.98714</cdr:x>
      <cdr:y>0.98768</cdr:y>
    </cdr:to>
    <cdr:pic>
      <cdr:nvPicPr>
        <cdr:cNvPr id="2" name="图片 1">
          <a:extLst xmlns:a="http://schemas.openxmlformats.org/drawingml/2006/main">
            <a:ext uri="{FF2B5EF4-FFF2-40B4-BE49-F238E27FC236}">
              <a16:creationId xmlns:a16="http://schemas.microsoft.com/office/drawing/2014/main" id="{158BED31-F524-499C-A142-69DE6FA049FF}"/>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918106" y="4179093"/>
          <a:ext cx="710662" cy="33658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2.xml><?xml version="1.0" encoding="utf-8"?>
<xdr:wsDr xmlns:xdr="http://schemas.openxmlformats.org/drawingml/2006/spreadsheetDrawing" xmlns:a="http://schemas.openxmlformats.org/drawingml/2006/main">
  <xdr:twoCellAnchor>
    <xdr:from>
      <xdr:col>21</xdr:col>
      <xdr:colOff>607218</xdr:colOff>
      <xdr:row>7</xdr:row>
      <xdr:rowOff>-1</xdr:rowOff>
    </xdr:from>
    <xdr:to>
      <xdr:col>38</xdr:col>
      <xdr:colOff>595312</xdr:colOff>
      <xdr:row>28</xdr:row>
      <xdr:rowOff>190498</xdr:rowOff>
    </xdr:to>
    <xdr:graphicFrame macro="">
      <xdr:nvGraphicFramePr>
        <xdr:cNvPr id="3" name="Chart 2">
          <a:extLst>
            <a:ext uri="{FF2B5EF4-FFF2-40B4-BE49-F238E27FC236}">
              <a16:creationId xmlns:a16="http://schemas.microsoft.com/office/drawing/2014/main" id="{41D25E19-78E5-4951-8E12-C82503C68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xdr:colOff>
      <xdr:row>7</xdr:row>
      <xdr:rowOff>11906</xdr:rowOff>
    </xdr:from>
    <xdr:to>
      <xdr:col>53</xdr:col>
      <xdr:colOff>0</xdr:colOff>
      <xdr:row>29</xdr:row>
      <xdr:rowOff>11905</xdr:rowOff>
    </xdr:to>
    <xdr:graphicFrame macro="">
      <xdr:nvGraphicFramePr>
        <xdr:cNvPr id="4" name="Chart 3">
          <a:extLst>
            <a:ext uri="{FF2B5EF4-FFF2-40B4-BE49-F238E27FC236}">
              <a16:creationId xmlns:a16="http://schemas.microsoft.com/office/drawing/2014/main" id="{EFE0F83F-AB7F-4FF2-B8A1-184A72481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30</xdr:row>
      <xdr:rowOff>0</xdr:rowOff>
    </xdr:from>
    <xdr:to>
      <xdr:col>39</xdr:col>
      <xdr:colOff>-1</xdr:colOff>
      <xdr:row>52</xdr:row>
      <xdr:rowOff>-1</xdr:rowOff>
    </xdr:to>
    <xdr:graphicFrame macro="">
      <xdr:nvGraphicFramePr>
        <xdr:cNvPr id="5" name="Chart 4">
          <a:extLst>
            <a:ext uri="{FF2B5EF4-FFF2-40B4-BE49-F238E27FC236}">
              <a16:creationId xmlns:a16="http://schemas.microsoft.com/office/drawing/2014/main" id="{8510199F-3B4A-4E6C-AF8C-01F974E9C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1</xdr:colOff>
      <xdr:row>30</xdr:row>
      <xdr:rowOff>11906</xdr:rowOff>
    </xdr:from>
    <xdr:to>
      <xdr:col>53</xdr:col>
      <xdr:colOff>0</xdr:colOff>
      <xdr:row>52</xdr:row>
      <xdr:rowOff>11905</xdr:rowOff>
    </xdr:to>
    <xdr:graphicFrame macro="">
      <xdr:nvGraphicFramePr>
        <xdr:cNvPr id="6" name="Chart 5">
          <a:extLst>
            <a:ext uri="{FF2B5EF4-FFF2-40B4-BE49-F238E27FC236}">
              <a16:creationId xmlns:a16="http://schemas.microsoft.com/office/drawing/2014/main" id="{52F36D9E-B074-4F9B-8D4F-A741F52449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53</xdr:row>
      <xdr:rowOff>0</xdr:rowOff>
    </xdr:from>
    <xdr:to>
      <xdr:col>39</xdr:col>
      <xdr:colOff>11906</xdr:colOff>
      <xdr:row>75</xdr:row>
      <xdr:rowOff>-1</xdr:rowOff>
    </xdr:to>
    <xdr:graphicFrame macro="">
      <xdr:nvGraphicFramePr>
        <xdr:cNvPr id="7" name="Chart 6">
          <a:extLst>
            <a:ext uri="{FF2B5EF4-FFF2-40B4-BE49-F238E27FC236}">
              <a16:creationId xmlns:a16="http://schemas.microsoft.com/office/drawing/2014/main" id="{968AC515-C46D-44E7-963E-F23BA2C0F1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595314</xdr:colOff>
      <xdr:row>52</xdr:row>
      <xdr:rowOff>178594</xdr:rowOff>
    </xdr:from>
    <xdr:to>
      <xdr:col>53</xdr:col>
      <xdr:colOff>11906</xdr:colOff>
      <xdr:row>74</xdr:row>
      <xdr:rowOff>178593</xdr:rowOff>
    </xdr:to>
    <xdr:graphicFrame macro="">
      <xdr:nvGraphicFramePr>
        <xdr:cNvPr id="8" name="Chart 7">
          <a:extLst>
            <a:ext uri="{FF2B5EF4-FFF2-40B4-BE49-F238E27FC236}">
              <a16:creationId xmlns:a16="http://schemas.microsoft.com/office/drawing/2014/main" id="{C485B8C2-E118-40B8-83D1-DA22867CA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4.xml><?xml version="1.0" encoding="utf-8"?>
<c:userShapes xmlns:c="http://schemas.openxmlformats.org/drawingml/2006/chart">
  <cdr:relSizeAnchor xmlns:cdr="http://schemas.openxmlformats.org/drawingml/2006/chartDrawing">
    <cdr:from>
      <cdr:x>0.86631</cdr:x>
      <cdr:y>0.92045</cdr:y>
    </cdr:from>
    <cdr:to>
      <cdr:x>0.99623</cdr:x>
      <cdr:y>0.99224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786436" y="3857624"/>
          <a:ext cx="867788" cy="3008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5.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6.xml><?xml version="1.0" encoding="utf-8"?>
<c:userShapes xmlns:c="http://schemas.openxmlformats.org/drawingml/2006/chart">
  <cdr:relSizeAnchor xmlns:cdr="http://schemas.openxmlformats.org/drawingml/2006/chartDrawing">
    <cdr:from>
      <cdr:x>0.87166</cdr:x>
      <cdr:y>0.9233</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22155" y="3869530"/>
          <a:ext cx="790723" cy="27704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7.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8.xml><?xml version="1.0" encoding="utf-8"?>
<c:userShapes xmlns:c="http://schemas.openxmlformats.org/drawingml/2006/chart">
  <cdr:relSizeAnchor xmlns:cdr="http://schemas.openxmlformats.org/drawingml/2006/chartDrawing">
    <cdr:from>
      <cdr:x>0.84848</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667374" y="3789376"/>
          <a:ext cx="945505" cy="35719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9.xml><?xml version="1.0" encoding="utf-8"?>
<xdr:wsDr xmlns:xdr="http://schemas.openxmlformats.org/drawingml/2006/spreadsheetDrawing" xmlns:a="http://schemas.openxmlformats.org/drawingml/2006/main">
  <xdr:twoCellAnchor>
    <xdr:from>
      <xdr:col>22</xdr:col>
      <xdr:colOff>0</xdr:colOff>
      <xdr:row>7</xdr:row>
      <xdr:rowOff>0</xdr:rowOff>
    </xdr:from>
    <xdr:to>
      <xdr:col>39</xdr:col>
      <xdr:colOff>0</xdr:colOff>
      <xdr:row>29</xdr:row>
      <xdr:rowOff>-1</xdr:rowOff>
    </xdr:to>
    <xdr:graphicFrame macro="">
      <xdr:nvGraphicFramePr>
        <xdr:cNvPr id="2" name="Chart 1">
          <a:extLst>
            <a:ext uri="{FF2B5EF4-FFF2-40B4-BE49-F238E27FC236}">
              <a16:creationId xmlns:a16="http://schemas.microsoft.com/office/drawing/2014/main" id="{F894CB5A-567F-4C7B-9D57-8225C026C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xdr:colOff>
      <xdr:row>30</xdr:row>
      <xdr:rowOff>1</xdr:rowOff>
    </xdr:from>
    <xdr:to>
      <xdr:col>39</xdr:col>
      <xdr:colOff>11906</xdr:colOff>
      <xdr:row>52</xdr:row>
      <xdr:rowOff>0</xdr:rowOff>
    </xdr:to>
    <xdr:graphicFrame macro="">
      <xdr:nvGraphicFramePr>
        <xdr:cNvPr id="3" name="Chart 2">
          <a:extLst>
            <a:ext uri="{FF2B5EF4-FFF2-40B4-BE49-F238E27FC236}">
              <a16:creationId xmlns:a16="http://schemas.microsoft.com/office/drawing/2014/main" id="{BE61557B-12BB-416C-9EC5-DCA786847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53</xdr:row>
      <xdr:rowOff>1</xdr:rowOff>
    </xdr:from>
    <xdr:to>
      <xdr:col>38</xdr:col>
      <xdr:colOff>595311</xdr:colOff>
      <xdr:row>75</xdr:row>
      <xdr:rowOff>0</xdr:rowOff>
    </xdr:to>
    <xdr:graphicFrame macro="">
      <xdr:nvGraphicFramePr>
        <xdr:cNvPr id="4" name="Chart 3">
          <a:extLst>
            <a:ext uri="{FF2B5EF4-FFF2-40B4-BE49-F238E27FC236}">
              <a16:creationId xmlns:a16="http://schemas.microsoft.com/office/drawing/2014/main" id="{4F5DBE99-330F-4033-8C12-5D8760709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11907</xdr:colOff>
      <xdr:row>7</xdr:row>
      <xdr:rowOff>23813</xdr:rowOff>
    </xdr:from>
    <xdr:to>
      <xdr:col>51</xdr:col>
      <xdr:colOff>595313</xdr:colOff>
      <xdr:row>29</xdr:row>
      <xdr:rowOff>23812</xdr:rowOff>
    </xdr:to>
    <xdr:graphicFrame macro="">
      <xdr:nvGraphicFramePr>
        <xdr:cNvPr id="5" name="Chart 4">
          <a:extLst>
            <a:ext uri="{FF2B5EF4-FFF2-40B4-BE49-F238E27FC236}">
              <a16:creationId xmlns:a16="http://schemas.microsoft.com/office/drawing/2014/main" id="{5367B5BC-66A3-4501-9BF0-1B02F5BE9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39</xdr:col>
      <xdr:colOff>607218</xdr:colOff>
      <xdr:row>30</xdr:row>
      <xdr:rowOff>1</xdr:rowOff>
    </xdr:from>
    <xdr:to>
      <xdr:col>51</xdr:col>
      <xdr:colOff>607218</xdr:colOff>
      <xdr:row>52</xdr:row>
      <xdr:rowOff>0</xdr:rowOff>
    </xdr:to>
    <xdr:graphicFrame macro="">
      <xdr:nvGraphicFramePr>
        <xdr:cNvPr id="6" name="Chart 5">
          <a:extLst>
            <a:ext uri="{FF2B5EF4-FFF2-40B4-BE49-F238E27FC236}">
              <a16:creationId xmlns:a16="http://schemas.microsoft.com/office/drawing/2014/main" id="{930E3AB9-5BD5-423F-B57F-D64341A40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11907</xdr:colOff>
      <xdr:row>53</xdr:row>
      <xdr:rowOff>11907</xdr:rowOff>
    </xdr:from>
    <xdr:to>
      <xdr:col>52</xdr:col>
      <xdr:colOff>0</xdr:colOff>
      <xdr:row>75</xdr:row>
      <xdr:rowOff>11906</xdr:rowOff>
    </xdr:to>
    <xdr:graphicFrame macro="">
      <xdr:nvGraphicFramePr>
        <xdr:cNvPr id="7" name="Chart 6">
          <a:extLst>
            <a:ext uri="{FF2B5EF4-FFF2-40B4-BE49-F238E27FC236}">
              <a16:creationId xmlns:a16="http://schemas.microsoft.com/office/drawing/2014/main" id="{0AD6E9CB-33C3-4EC0-8D3B-FB29F0E71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0.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1.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2.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3.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4.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5.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6.xml><?xml version="1.0" encoding="utf-8"?>
<xdr:wsDr xmlns:xdr="http://schemas.openxmlformats.org/drawingml/2006/spreadsheetDrawing" xmlns:a="http://schemas.openxmlformats.org/drawingml/2006/main">
  <xdr:twoCellAnchor>
    <xdr:from>
      <xdr:col>28</xdr:col>
      <xdr:colOff>595312</xdr:colOff>
      <xdr:row>7</xdr:row>
      <xdr:rowOff>0</xdr:rowOff>
    </xdr:from>
    <xdr:to>
      <xdr:col>45</xdr:col>
      <xdr:colOff>595312</xdr:colOff>
      <xdr:row>28</xdr:row>
      <xdr:rowOff>0</xdr:rowOff>
    </xdr:to>
    <xdr:graphicFrame macro="">
      <xdr:nvGraphicFramePr>
        <xdr:cNvPr id="2" name="Chart 1">
          <a:extLst>
            <a:ext uri="{FF2B5EF4-FFF2-40B4-BE49-F238E27FC236}">
              <a16:creationId xmlns:a16="http://schemas.microsoft.com/office/drawing/2014/main" id="{EC28CEC1-7533-4593-9F48-A918F9DDC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0</xdr:colOff>
      <xdr:row>29</xdr:row>
      <xdr:rowOff>0</xdr:rowOff>
    </xdr:from>
    <xdr:to>
      <xdr:col>46</xdr:col>
      <xdr:colOff>0</xdr:colOff>
      <xdr:row>49</xdr:row>
      <xdr:rowOff>190500</xdr:rowOff>
    </xdr:to>
    <xdr:graphicFrame macro="">
      <xdr:nvGraphicFramePr>
        <xdr:cNvPr id="4" name="Chart 3">
          <a:extLst>
            <a:ext uri="{FF2B5EF4-FFF2-40B4-BE49-F238E27FC236}">
              <a16:creationId xmlns:a16="http://schemas.microsoft.com/office/drawing/2014/main" id="{0E74E507-369B-4C57-A008-69108FFA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607218</xdr:colOff>
      <xdr:row>7</xdr:row>
      <xdr:rowOff>11906</xdr:rowOff>
    </xdr:from>
    <xdr:to>
      <xdr:col>58</xdr:col>
      <xdr:colOff>595313</xdr:colOff>
      <xdr:row>28</xdr:row>
      <xdr:rowOff>11906</xdr:rowOff>
    </xdr:to>
    <xdr:graphicFrame macro="">
      <xdr:nvGraphicFramePr>
        <xdr:cNvPr id="7" name="Chart 6">
          <a:extLst>
            <a:ext uri="{FF2B5EF4-FFF2-40B4-BE49-F238E27FC236}">
              <a16:creationId xmlns:a16="http://schemas.microsoft.com/office/drawing/2014/main" id="{27B7D5D0-A057-4E1F-AF71-5E87EDFF9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47</xdr:col>
      <xdr:colOff>0</xdr:colOff>
      <xdr:row>29</xdr:row>
      <xdr:rowOff>0</xdr:rowOff>
    </xdr:from>
    <xdr:to>
      <xdr:col>59</xdr:col>
      <xdr:colOff>0</xdr:colOff>
      <xdr:row>49</xdr:row>
      <xdr:rowOff>190500</xdr:rowOff>
    </xdr:to>
    <xdr:graphicFrame macro="">
      <xdr:nvGraphicFramePr>
        <xdr:cNvPr id="8" name="Chart 7">
          <a:extLst>
            <a:ext uri="{FF2B5EF4-FFF2-40B4-BE49-F238E27FC236}">
              <a16:creationId xmlns:a16="http://schemas.microsoft.com/office/drawing/2014/main" id="{C17C8674-2BC1-457D-BEC0-5097147F3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0</xdr:colOff>
      <xdr:row>51</xdr:row>
      <xdr:rowOff>0</xdr:rowOff>
    </xdr:from>
    <xdr:to>
      <xdr:col>46</xdr:col>
      <xdr:colOff>11906</xdr:colOff>
      <xdr:row>72</xdr:row>
      <xdr:rowOff>0</xdr:rowOff>
    </xdr:to>
    <xdr:graphicFrame macro="">
      <xdr:nvGraphicFramePr>
        <xdr:cNvPr id="9" name="Chart 8">
          <a:extLst>
            <a:ext uri="{FF2B5EF4-FFF2-40B4-BE49-F238E27FC236}">
              <a16:creationId xmlns:a16="http://schemas.microsoft.com/office/drawing/2014/main" id="{F2C5C1CE-FDEF-4079-9392-8B6773ECA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47</xdr:col>
      <xdr:colOff>0</xdr:colOff>
      <xdr:row>51</xdr:row>
      <xdr:rowOff>11906</xdr:rowOff>
    </xdr:from>
    <xdr:to>
      <xdr:col>59</xdr:col>
      <xdr:colOff>0</xdr:colOff>
      <xdr:row>72</xdr:row>
      <xdr:rowOff>11906</xdr:rowOff>
    </xdr:to>
    <xdr:graphicFrame macro="">
      <xdr:nvGraphicFramePr>
        <xdr:cNvPr id="10" name="Chart 9">
          <a:extLst>
            <a:ext uri="{FF2B5EF4-FFF2-40B4-BE49-F238E27FC236}">
              <a16:creationId xmlns:a16="http://schemas.microsoft.com/office/drawing/2014/main" id="{B85E3C38-B4CF-4340-93A0-9B6DA16B1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8.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9.xml><?xml version="1.0" encoding="utf-8"?>
<c:userShapes xmlns:c="http://schemas.openxmlformats.org/drawingml/2006/chart">
  <cdr:relSizeAnchor xmlns:cdr="http://schemas.openxmlformats.org/drawingml/2006/chartDrawing">
    <cdr:from>
      <cdr:x>0.88499</cdr:x>
      <cdr:y>0.91317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900671" y="3881437"/>
          <a:ext cx="700421" cy="32403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0.xml><?xml version="1.0" encoding="utf-8"?>
<c:userShapes xmlns:c="http://schemas.openxmlformats.org/drawingml/2006/chart">
  <cdr:relSizeAnchor xmlns:cdr="http://schemas.openxmlformats.org/drawingml/2006/chartDrawing">
    <cdr:from>
      <cdr:x>0.88499</cdr:x>
      <cdr:y>0.92416</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911208" y="3917156"/>
          <a:ext cx="701671" cy="27654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1.xml><?xml version="1.0" encoding="utf-8"?>
<c:userShapes xmlns:c="http://schemas.openxmlformats.org/drawingml/2006/chart">
  <cdr:relSizeAnchor xmlns:cdr="http://schemas.openxmlformats.org/drawingml/2006/chartDrawing">
    <cdr:from>
      <cdr:x>0.88499</cdr:x>
      <cdr:y>0.90417</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8587581" y="3789363"/>
          <a:ext cx="1019371" cy="3572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2.xml><?xml version="1.0" encoding="utf-8"?>
<c:userShapes xmlns:c="http://schemas.openxmlformats.org/drawingml/2006/chart">
  <cdr:relSizeAnchor xmlns:cdr="http://schemas.openxmlformats.org/drawingml/2006/chartDrawing">
    <cdr:from>
      <cdr:x>0.88499</cdr:x>
      <cdr:y>0.92416</cdr:y>
    </cdr:from>
    <cdr:to>
      <cdr:x>0.99004</cdr:x>
      <cdr:y>0.9894</cdr:y>
    </cdr:to>
    <cdr:pic>
      <cdr:nvPicPr>
        <cdr:cNvPr id="2" name="图片 1">
          <a:extLst xmlns:a="http://schemas.openxmlformats.org/drawingml/2006/main">
            <a:ext uri="{FF2B5EF4-FFF2-40B4-BE49-F238E27FC236}">
              <a16:creationId xmlns:a16="http://schemas.microsoft.com/office/drawing/2014/main" id="{383728A7-BFD9-4EC9-85D1-5F99AC99349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911208" y="3917155"/>
          <a:ext cx="701671" cy="2765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3.xml><?xml version="1.0" encoding="utf-8"?>
<xdr:wsDr xmlns:xdr="http://schemas.openxmlformats.org/drawingml/2006/spreadsheetDrawing" xmlns:a="http://schemas.openxmlformats.org/drawingml/2006/main">
  <xdr:twoCellAnchor>
    <xdr:from>
      <xdr:col>0</xdr:col>
      <xdr:colOff>750093</xdr:colOff>
      <xdr:row>15</xdr:row>
      <xdr:rowOff>-1</xdr:rowOff>
    </xdr:from>
    <xdr:to>
      <xdr:col>18</xdr:col>
      <xdr:colOff>23812</xdr:colOff>
      <xdr:row>33</xdr:row>
      <xdr:rowOff>190498</xdr:rowOff>
    </xdr:to>
    <xdr:graphicFrame macro="">
      <xdr:nvGraphicFramePr>
        <xdr:cNvPr id="3" name="Chart 2">
          <a:extLst>
            <a:ext uri="{FF2B5EF4-FFF2-40B4-BE49-F238E27FC236}">
              <a16:creationId xmlns:a16="http://schemas.microsoft.com/office/drawing/2014/main" id="{A73BE70E-B6E6-4591-BE3F-080C38E7D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607217</xdr:colOff>
      <xdr:row>15</xdr:row>
      <xdr:rowOff>0</xdr:rowOff>
    </xdr:from>
    <xdr:to>
      <xdr:col>30</xdr:col>
      <xdr:colOff>607217</xdr:colOff>
      <xdr:row>34</xdr:row>
      <xdr:rowOff>-1</xdr:rowOff>
    </xdr:to>
    <xdr:graphicFrame macro="">
      <xdr:nvGraphicFramePr>
        <xdr:cNvPr id="4" name="Chart 3">
          <a:extLst>
            <a:ext uri="{FF2B5EF4-FFF2-40B4-BE49-F238E27FC236}">
              <a16:creationId xmlns:a16="http://schemas.microsoft.com/office/drawing/2014/main" id="{709C2386-F4CB-4692-B216-4B87DF7DA4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0.87134</cdr:x>
      <cdr:y>0.88575</cdr:y>
    </cdr:from>
    <cdr:to>
      <cdr:x>0.99157</cdr:x>
      <cdr:y>0.98583</cdr:y>
    </cdr:to>
    <cdr:pic>
      <cdr:nvPicPr>
        <cdr:cNvPr id="2" name="图片 1">
          <a:extLst xmlns:a="http://schemas.openxmlformats.org/drawingml/2006/main">
            <a:ext uri="{FF2B5EF4-FFF2-40B4-BE49-F238E27FC236}">
              <a16:creationId xmlns:a16="http://schemas.microsoft.com/office/drawing/2014/main" id="{8AB89B0B-F076-4A5F-9593-0C3E6310ACF9}"/>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396956" y="3205956"/>
          <a:ext cx="1020614" cy="36227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5.xml><?xml version="1.0" encoding="utf-8"?>
<c:userShapes xmlns:c="http://schemas.openxmlformats.org/drawingml/2006/chart">
  <cdr:relSizeAnchor xmlns:cdr="http://schemas.openxmlformats.org/drawingml/2006/chartDrawing">
    <cdr:from>
      <cdr:x>0.87134</cdr:x>
      <cdr:y>0.90789</cdr:y>
    </cdr:from>
    <cdr:to>
      <cdr:x>0.99157</cdr:x>
      <cdr:y>0.98583</cdr:y>
    </cdr:to>
    <cdr:pic>
      <cdr:nvPicPr>
        <cdr:cNvPr id="2" name="图片 1">
          <a:extLst xmlns:a="http://schemas.openxmlformats.org/drawingml/2006/main">
            <a:ext uri="{FF2B5EF4-FFF2-40B4-BE49-F238E27FC236}">
              <a16:creationId xmlns:a16="http://schemas.microsoft.com/office/drawing/2014/main" id="{8AB89B0B-F076-4A5F-9593-0C3E6310ACF9}"/>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20034" y="3286123"/>
          <a:ext cx="803065" cy="28208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6.xml><?xml version="1.0" encoding="utf-8"?>
<xdr:wsDr xmlns:xdr="http://schemas.openxmlformats.org/drawingml/2006/spreadsheetDrawing" xmlns:a="http://schemas.openxmlformats.org/drawingml/2006/main">
  <xdr:twoCellAnchor>
    <xdr:from>
      <xdr:col>31</xdr:col>
      <xdr:colOff>0</xdr:colOff>
      <xdr:row>5</xdr:row>
      <xdr:rowOff>178593</xdr:rowOff>
    </xdr:from>
    <xdr:to>
      <xdr:col>67</xdr:col>
      <xdr:colOff>595313</xdr:colOff>
      <xdr:row>40</xdr:row>
      <xdr:rowOff>178593</xdr:rowOff>
    </xdr:to>
    <xdr:graphicFrame macro="">
      <xdr:nvGraphicFramePr>
        <xdr:cNvPr id="6" name="Chart 5">
          <a:extLst>
            <a:ext uri="{FF2B5EF4-FFF2-40B4-BE49-F238E27FC236}">
              <a16:creationId xmlns:a16="http://schemas.microsoft.com/office/drawing/2014/main" id="{99563832-49C0-4313-A2F3-07FB0F6D4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607218</xdr:colOff>
      <xdr:row>43</xdr:row>
      <xdr:rowOff>11907</xdr:rowOff>
    </xdr:from>
    <xdr:to>
      <xdr:col>71</xdr:col>
      <xdr:colOff>11906</xdr:colOff>
      <xdr:row>78</xdr:row>
      <xdr:rowOff>11907</xdr:rowOff>
    </xdr:to>
    <xdr:graphicFrame macro="">
      <xdr:nvGraphicFramePr>
        <xdr:cNvPr id="8" name="Chart 7">
          <a:extLst>
            <a:ext uri="{FF2B5EF4-FFF2-40B4-BE49-F238E27FC236}">
              <a16:creationId xmlns:a16="http://schemas.microsoft.com/office/drawing/2014/main" id="{DA9548B0-7E6A-43B4-A523-1EC110AB5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31</xdr:col>
      <xdr:colOff>238125</xdr:colOff>
      <xdr:row>103</xdr:row>
      <xdr:rowOff>57150</xdr:rowOff>
    </xdr:from>
    <xdr:ext cx="1268296" cy="311496"/>
    <xdr:sp macro="" textlink="">
      <xdr:nvSpPr>
        <xdr:cNvPr id="2" name="TextBox 1">
          <a:extLst>
            <a:ext uri="{FF2B5EF4-FFF2-40B4-BE49-F238E27FC236}">
              <a16:creationId xmlns:a16="http://schemas.microsoft.com/office/drawing/2014/main" id="{BA6AAB81-1575-4DBC-9C1F-233A86556A57}"/>
            </a:ext>
          </a:extLst>
        </xdr:cNvPr>
        <xdr:cNvSpPr txBox="1"/>
      </xdr:nvSpPr>
      <xdr:spPr>
        <a:xfrm>
          <a:off x="11706225" y="18745200"/>
          <a:ext cx="126829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57.xml><?xml version="1.0" encoding="utf-8"?>
<c:userShapes xmlns:c="http://schemas.openxmlformats.org/drawingml/2006/chart">
  <cdr:relSizeAnchor xmlns:cdr="http://schemas.openxmlformats.org/drawingml/2006/chartDrawing">
    <cdr:from>
      <cdr:x>0.96035</cdr:x>
      <cdr:y>0.95226</cdr:y>
    </cdr:from>
    <cdr:to>
      <cdr:x>0.99816</cdr:x>
      <cdr:y>0.99457</cdr:y>
    </cdr:to>
    <cdr:pic>
      <cdr:nvPicPr>
        <cdr:cNvPr id="9" name="图片 1">
          <a:extLst xmlns:a="http://schemas.openxmlformats.org/drawingml/2006/main">
            <a:ext uri="{FF2B5EF4-FFF2-40B4-BE49-F238E27FC236}">
              <a16:creationId xmlns:a16="http://schemas.microsoft.com/office/drawing/2014/main" id="{B9028B35-9935-41E3-9D77-091A50C5895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98581" y="6349206"/>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8.xml><?xml version="1.0" encoding="utf-8"?>
<c:userShapes xmlns:c="http://schemas.openxmlformats.org/drawingml/2006/chart">
  <cdr:relSizeAnchor xmlns:cdr="http://schemas.openxmlformats.org/drawingml/2006/chartDrawing">
    <cdr:from>
      <cdr:x>0.95961</cdr:x>
      <cdr:y>0.95048</cdr:y>
    </cdr:from>
    <cdr:to>
      <cdr:x>0.99741</cdr:x>
      <cdr:y>0.99279</cdr:y>
    </cdr:to>
    <cdr:pic>
      <cdr:nvPicPr>
        <cdr:cNvPr id="2" name="图片 1">
          <a:extLst xmlns:a="http://schemas.openxmlformats.org/drawingml/2006/main">
            <a:ext uri="{FF2B5EF4-FFF2-40B4-BE49-F238E27FC236}">
              <a16:creationId xmlns:a16="http://schemas.microsoft.com/office/drawing/2014/main" id="{1281102C-EDBA-470D-B043-B88941EFEA1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86675" y="6337300"/>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9.xml><?xml version="1.0" encoding="utf-8"?>
<xdr:wsDr xmlns:xdr="http://schemas.openxmlformats.org/drawingml/2006/spreadsheetDrawing" xmlns:a="http://schemas.openxmlformats.org/drawingml/2006/main">
  <xdr:twoCellAnchor>
    <xdr:from>
      <xdr:col>17</xdr:col>
      <xdr:colOff>23812</xdr:colOff>
      <xdr:row>7</xdr:row>
      <xdr:rowOff>11907</xdr:rowOff>
    </xdr:from>
    <xdr:to>
      <xdr:col>55</xdr:col>
      <xdr:colOff>15874</xdr:colOff>
      <xdr:row>42</xdr:row>
      <xdr:rowOff>11907</xdr:rowOff>
    </xdr:to>
    <xdr:graphicFrame macro="">
      <xdr:nvGraphicFramePr>
        <xdr:cNvPr id="4" name="Chart 3">
          <a:extLst>
            <a:ext uri="{FF2B5EF4-FFF2-40B4-BE49-F238E27FC236}">
              <a16:creationId xmlns:a16="http://schemas.microsoft.com/office/drawing/2014/main" id="{DA773DC6-0097-42BE-B681-D38A6705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16</xdr:col>
      <xdr:colOff>571500</xdr:colOff>
      <xdr:row>46</xdr:row>
      <xdr:rowOff>161925</xdr:rowOff>
    </xdr:from>
    <xdr:ext cx="1268296" cy="311496"/>
    <xdr:sp macro="" textlink="">
      <xdr:nvSpPr>
        <xdr:cNvPr id="3" name="TextBox 2">
          <a:extLst>
            <a:ext uri="{FF2B5EF4-FFF2-40B4-BE49-F238E27FC236}">
              <a16:creationId xmlns:a16="http://schemas.microsoft.com/office/drawing/2014/main" id="{CFB6DB96-4ACD-40E0-9BF9-251CEDB46471}"/>
            </a:ext>
          </a:extLst>
        </xdr:cNvPr>
        <xdr:cNvSpPr txBox="1"/>
      </xdr:nvSpPr>
      <xdr:spPr>
        <a:xfrm>
          <a:off x="12106275" y="8715375"/>
          <a:ext cx="126829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6.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60.xml><?xml version="1.0" encoding="utf-8"?>
<c:userShapes xmlns:c="http://schemas.openxmlformats.org/drawingml/2006/chart">
  <cdr:relSizeAnchor xmlns:cdr="http://schemas.openxmlformats.org/drawingml/2006/chartDrawing">
    <cdr:from>
      <cdr:x>0.95961</cdr:x>
      <cdr:y>0.95048</cdr:y>
    </cdr:from>
    <cdr:to>
      <cdr:x>0.99741</cdr:x>
      <cdr:y>0.99279</cdr:y>
    </cdr:to>
    <cdr:pic>
      <cdr:nvPicPr>
        <cdr:cNvPr id="2" name="图片 1">
          <a:extLst xmlns:a="http://schemas.openxmlformats.org/drawingml/2006/main">
            <a:ext uri="{FF2B5EF4-FFF2-40B4-BE49-F238E27FC236}">
              <a16:creationId xmlns:a16="http://schemas.microsoft.com/office/drawing/2014/main" id="{1281102C-EDBA-470D-B043-B88941EFEA1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86675" y="6337300"/>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61.xml><?xml version="1.0" encoding="utf-8"?>
<xdr:wsDr xmlns:xdr="http://schemas.openxmlformats.org/drawingml/2006/spreadsheetDrawing" xmlns:a="http://schemas.openxmlformats.org/drawingml/2006/main">
  <xdr:twoCellAnchor>
    <xdr:from>
      <xdr:col>1</xdr:col>
      <xdr:colOff>11905</xdr:colOff>
      <xdr:row>5</xdr:row>
      <xdr:rowOff>13948</xdr:rowOff>
    </xdr:from>
    <xdr:to>
      <xdr:col>4</xdr:col>
      <xdr:colOff>2216942</xdr:colOff>
      <xdr:row>23</xdr:row>
      <xdr:rowOff>2041</xdr:rowOff>
    </xdr:to>
    <xdr:graphicFrame macro="">
      <xdr:nvGraphicFramePr>
        <xdr:cNvPr id="27" name="Chart 26">
          <a:extLst>
            <a:ext uri="{FF2B5EF4-FFF2-40B4-BE49-F238E27FC236}">
              <a16:creationId xmlns:a16="http://schemas.microsoft.com/office/drawing/2014/main" id="{9490C0B2-A797-43AE-B9BC-098A04B70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2644775</xdr:colOff>
      <xdr:row>5</xdr:row>
      <xdr:rowOff>0</xdr:rowOff>
    </xdr:from>
    <xdr:to>
      <xdr:col>8</xdr:col>
      <xdr:colOff>2211388</xdr:colOff>
      <xdr:row>23</xdr:row>
      <xdr:rowOff>0</xdr:rowOff>
    </xdr:to>
    <xdr:graphicFrame macro="">
      <xdr:nvGraphicFramePr>
        <xdr:cNvPr id="28" name="Chart 27">
          <a:extLst>
            <a:ext uri="{FF2B5EF4-FFF2-40B4-BE49-F238E27FC236}">
              <a16:creationId xmlns:a16="http://schemas.microsoft.com/office/drawing/2014/main" id="{39F1DC6D-14DF-4637-ACF0-B220DE524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xdr:row>
      <xdr:rowOff>9525</xdr:rowOff>
    </xdr:from>
    <xdr:to>
      <xdr:col>12</xdr:col>
      <xdr:colOff>2190750</xdr:colOff>
      <xdr:row>23</xdr:row>
      <xdr:rowOff>9525</xdr:rowOff>
    </xdr:to>
    <xdr:graphicFrame macro="">
      <xdr:nvGraphicFramePr>
        <xdr:cNvPr id="29" name="Chart 28">
          <a:extLst>
            <a:ext uri="{FF2B5EF4-FFF2-40B4-BE49-F238E27FC236}">
              <a16:creationId xmlns:a16="http://schemas.microsoft.com/office/drawing/2014/main" id="{2A1C88E7-F92F-443B-A862-1BD5A34E7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24</xdr:row>
      <xdr:rowOff>9525</xdr:rowOff>
    </xdr:from>
    <xdr:to>
      <xdr:col>4</xdr:col>
      <xdr:colOff>2212181</xdr:colOff>
      <xdr:row>41</xdr:row>
      <xdr:rowOff>188118</xdr:rowOff>
    </xdr:to>
    <xdr:graphicFrame macro="">
      <xdr:nvGraphicFramePr>
        <xdr:cNvPr id="30" name="Chart 29">
          <a:extLst>
            <a:ext uri="{FF2B5EF4-FFF2-40B4-BE49-F238E27FC236}">
              <a16:creationId xmlns:a16="http://schemas.microsoft.com/office/drawing/2014/main" id="{B934BBD9-672C-47A2-BAC5-C7048E77F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2638425</xdr:colOff>
      <xdr:row>24</xdr:row>
      <xdr:rowOff>0</xdr:rowOff>
    </xdr:from>
    <xdr:to>
      <xdr:col>8</xdr:col>
      <xdr:colOff>2193132</xdr:colOff>
      <xdr:row>41</xdr:row>
      <xdr:rowOff>178593</xdr:rowOff>
    </xdr:to>
    <xdr:graphicFrame macro="">
      <xdr:nvGraphicFramePr>
        <xdr:cNvPr id="31" name="Chart 30">
          <a:extLst>
            <a:ext uri="{FF2B5EF4-FFF2-40B4-BE49-F238E27FC236}">
              <a16:creationId xmlns:a16="http://schemas.microsoft.com/office/drawing/2014/main" id="{DD268B21-4FBF-401F-9789-AE75A9539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24</xdr:col>
      <xdr:colOff>297656</xdr:colOff>
      <xdr:row>47</xdr:row>
      <xdr:rowOff>35718</xdr:rowOff>
    </xdr:from>
    <xdr:ext cx="1690687" cy="311496"/>
    <xdr:sp macro="" textlink="">
      <xdr:nvSpPr>
        <xdr:cNvPr id="7" name="TextBox 6">
          <a:extLst>
            <a:ext uri="{FF2B5EF4-FFF2-40B4-BE49-F238E27FC236}">
              <a16:creationId xmlns:a16="http://schemas.microsoft.com/office/drawing/2014/main" id="{C794D251-0E7E-4896-B3C2-C5EDA9C685E2}"/>
            </a:ext>
          </a:extLst>
        </xdr:cNvPr>
        <xdr:cNvSpPr txBox="1"/>
      </xdr:nvSpPr>
      <xdr:spPr>
        <a:xfrm>
          <a:off x="36206906" y="9215437"/>
          <a:ext cx="1690687" cy="3114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i="1">
              <a:solidFill>
                <a:srgbClr val="FF0000"/>
              </a:solidFill>
            </a:rPr>
            <a:t>Protected area</a:t>
          </a:r>
        </a:p>
      </xdr:txBody>
    </xdr:sp>
    <xdr:clientData/>
  </xdr:oneCellAnchor>
</xdr:wsDr>
</file>

<file path=xl/drawings/drawing62.xml><?xml version="1.0" encoding="utf-8"?>
<c:userShapes xmlns:c="http://schemas.openxmlformats.org/drawingml/2006/chart">
  <cdr:relSizeAnchor xmlns:cdr="http://schemas.openxmlformats.org/drawingml/2006/chartDrawing">
    <cdr:from>
      <cdr:x>0.0268</cdr:x>
      <cdr:y>0.89356</cdr:y>
    </cdr:from>
    <cdr:to>
      <cdr:x>0.98546</cdr:x>
      <cdr:y>0.96205</cdr:y>
    </cdr:to>
    <cdr:sp macro="" textlink="">
      <cdr:nvSpPr>
        <cdr:cNvPr id="2" name="Rectangle 1">
          <a:extLst xmlns:a="http://schemas.openxmlformats.org/drawingml/2006/main">
            <a:ext uri="{FF2B5EF4-FFF2-40B4-BE49-F238E27FC236}">
              <a16:creationId xmlns:a16="http://schemas.microsoft.com/office/drawing/2014/main" id="{78A3D9E0-E008-4D54-B59A-82244EB61D89}"/>
            </a:ext>
          </a:extLst>
        </cdr:cNvPr>
        <cdr:cNvSpPr/>
      </cdr:nvSpPr>
      <cdr:spPr>
        <a:xfrm xmlns:a="http://schemas.openxmlformats.org/drawingml/2006/main">
          <a:off x="163285" y="3053389"/>
          <a:ext cx="5840730" cy="234036"/>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3.xml><?xml version="1.0" encoding="utf-8"?>
<c:userShapes xmlns:c="http://schemas.openxmlformats.org/drawingml/2006/chart">
  <cdr:relSizeAnchor xmlns:cdr="http://schemas.openxmlformats.org/drawingml/2006/chartDrawing">
    <cdr:from>
      <cdr:x>0.03194</cdr:x>
      <cdr:y>0.87976</cdr:y>
    </cdr:from>
    <cdr:to>
      <cdr:x>0.9906</cdr:x>
      <cdr:y>0.98704</cdr:y>
    </cdr:to>
    <cdr:sp macro="" textlink="">
      <cdr:nvSpPr>
        <cdr:cNvPr id="2" name="Rectangle 1">
          <a:extLst xmlns:a="http://schemas.openxmlformats.org/drawingml/2006/main">
            <a:ext uri="{FF2B5EF4-FFF2-40B4-BE49-F238E27FC236}">
              <a16:creationId xmlns:a16="http://schemas.microsoft.com/office/drawing/2014/main" id="{78A3D9E0-E008-4D54-B59A-82244EB61D89}"/>
            </a:ext>
          </a:extLst>
        </cdr:cNvPr>
        <cdr:cNvSpPr/>
      </cdr:nvSpPr>
      <cdr:spPr>
        <a:xfrm xmlns:a="http://schemas.openxmlformats.org/drawingml/2006/main">
          <a:off x="194268" y="3016687"/>
          <a:ext cx="5830295" cy="367863"/>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4.xml><?xml version="1.0" encoding="utf-8"?>
<c:userShapes xmlns:c="http://schemas.openxmlformats.org/drawingml/2006/chart">
  <cdr:relSizeAnchor xmlns:cdr="http://schemas.openxmlformats.org/drawingml/2006/chartDrawing">
    <cdr:from>
      <cdr:x>0.03545</cdr:x>
      <cdr:y>0.87571</cdr:y>
    </cdr:from>
    <cdr:to>
      <cdr:x>0.99411</cdr:x>
      <cdr:y>0.99008</cdr:y>
    </cdr:to>
    <cdr:sp macro="" textlink="">
      <cdr:nvSpPr>
        <cdr:cNvPr id="2" name="Rectangle 1">
          <a:extLst xmlns:a="http://schemas.openxmlformats.org/drawingml/2006/main">
            <a:ext uri="{FF2B5EF4-FFF2-40B4-BE49-F238E27FC236}">
              <a16:creationId xmlns:a16="http://schemas.microsoft.com/office/drawing/2014/main" id="{78A3D9E0-E008-4D54-B59A-82244EB61D89}"/>
            </a:ext>
          </a:extLst>
        </cdr:cNvPr>
        <cdr:cNvSpPr/>
      </cdr:nvSpPr>
      <cdr:spPr>
        <a:xfrm xmlns:a="http://schemas.openxmlformats.org/drawingml/2006/main">
          <a:off x="192959" y="3002820"/>
          <a:ext cx="5218501" cy="392174"/>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5.xml><?xml version="1.0" encoding="utf-8"?>
<c:userShapes xmlns:c="http://schemas.openxmlformats.org/drawingml/2006/chart">
  <cdr:relSizeAnchor xmlns:cdr="http://schemas.openxmlformats.org/drawingml/2006/chartDrawing">
    <cdr:from>
      <cdr:x>0.02236</cdr:x>
      <cdr:y>0.62423</cdr:y>
    </cdr:from>
    <cdr:to>
      <cdr:x>0.99044</cdr:x>
      <cdr:y>0.97561</cdr:y>
    </cdr:to>
    <cdr:sp macro="" textlink="">
      <cdr:nvSpPr>
        <cdr:cNvPr id="4" name="Rectangle 3">
          <a:extLst xmlns:a="http://schemas.openxmlformats.org/drawingml/2006/main">
            <a:ext uri="{FF2B5EF4-FFF2-40B4-BE49-F238E27FC236}">
              <a16:creationId xmlns:a16="http://schemas.microsoft.com/office/drawing/2014/main" id="{F4DBDF98-D446-47D6-B820-3648BF353737}"/>
            </a:ext>
          </a:extLst>
        </cdr:cNvPr>
        <cdr:cNvSpPr/>
      </cdr:nvSpPr>
      <cdr:spPr>
        <a:xfrm xmlns:a="http://schemas.openxmlformats.org/drawingml/2006/main">
          <a:off x="136071" y="2133056"/>
          <a:ext cx="5891893" cy="1200694"/>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6.xml><?xml version="1.0" encoding="utf-8"?>
<c:userShapes xmlns:c="http://schemas.openxmlformats.org/drawingml/2006/chart">
  <cdr:relSizeAnchor xmlns:cdr="http://schemas.openxmlformats.org/drawingml/2006/chartDrawing">
    <cdr:from>
      <cdr:x>0.03506</cdr:x>
      <cdr:y>0.85771</cdr:y>
    </cdr:from>
    <cdr:to>
      <cdr:x>0.99372</cdr:x>
      <cdr:y>0.98007</cdr:y>
    </cdr:to>
    <cdr:sp macro="" textlink="">
      <cdr:nvSpPr>
        <cdr:cNvPr id="2" name="Rectangle 1">
          <a:extLst xmlns:a="http://schemas.openxmlformats.org/drawingml/2006/main">
            <a:ext uri="{FF2B5EF4-FFF2-40B4-BE49-F238E27FC236}">
              <a16:creationId xmlns:a16="http://schemas.microsoft.com/office/drawing/2014/main" id="{78A3D9E0-E008-4D54-B59A-82244EB61D89}"/>
            </a:ext>
          </a:extLst>
        </cdr:cNvPr>
        <cdr:cNvSpPr/>
      </cdr:nvSpPr>
      <cdr:spPr>
        <a:xfrm xmlns:a="http://schemas.openxmlformats.org/drawingml/2006/main">
          <a:off x="212826" y="2930858"/>
          <a:ext cx="5818881" cy="418116"/>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7.xml><?xml version="1.0" encoding="utf-8"?>
<xdr:wsDr xmlns:xdr="http://schemas.openxmlformats.org/drawingml/2006/spreadsheetDrawing" xmlns:a="http://schemas.openxmlformats.org/drawingml/2006/main">
  <xdr:twoCellAnchor>
    <xdr:from>
      <xdr:col>30</xdr:col>
      <xdr:colOff>0</xdr:colOff>
      <xdr:row>5</xdr:row>
      <xdr:rowOff>0</xdr:rowOff>
    </xdr:from>
    <xdr:to>
      <xdr:col>66</xdr:col>
      <xdr:colOff>595313</xdr:colOff>
      <xdr:row>40</xdr:row>
      <xdr:rowOff>154782</xdr:rowOff>
    </xdr:to>
    <xdr:graphicFrame macro="">
      <xdr:nvGraphicFramePr>
        <xdr:cNvPr id="23" name="Chart 22">
          <a:extLst>
            <a:ext uri="{FF2B5EF4-FFF2-40B4-BE49-F238E27FC236}">
              <a16:creationId xmlns:a16="http://schemas.microsoft.com/office/drawing/2014/main" id="{EC5F54C1-E4CA-4C60-ACD8-2EBCF8C13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43</xdr:row>
      <xdr:rowOff>0</xdr:rowOff>
    </xdr:from>
    <xdr:to>
      <xdr:col>66</xdr:col>
      <xdr:colOff>599282</xdr:colOff>
      <xdr:row>77</xdr:row>
      <xdr:rowOff>0</xdr:rowOff>
    </xdr:to>
    <xdr:graphicFrame macro="">
      <xdr:nvGraphicFramePr>
        <xdr:cNvPr id="24" name="Chart 23">
          <a:extLst>
            <a:ext uri="{FF2B5EF4-FFF2-40B4-BE49-F238E27FC236}">
              <a16:creationId xmlns:a16="http://schemas.microsoft.com/office/drawing/2014/main" id="{B99114D7-5CDD-4AD5-A773-D47301C1D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95</xdr:row>
      <xdr:rowOff>0</xdr:rowOff>
    </xdr:from>
    <xdr:to>
      <xdr:col>67</xdr:col>
      <xdr:colOff>9525</xdr:colOff>
      <xdr:row>131</xdr:row>
      <xdr:rowOff>166689</xdr:rowOff>
    </xdr:to>
    <xdr:graphicFrame macro="">
      <xdr:nvGraphicFramePr>
        <xdr:cNvPr id="25" name="Chart 24">
          <a:extLst>
            <a:ext uri="{FF2B5EF4-FFF2-40B4-BE49-F238E27FC236}">
              <a16:creationId xmlns:a16="http://schemas.microsoft.com/office/drawing/2014/main" id="{75026E5E-BAD8-4E45-BE28-69E563C210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31</xdr:col>
      <xdr:colOff>514350</xdr:colOff>
      <xdr:row>138</xdr:row>
      <xdr:rowOff>95250</xdr:rowOff>
    </xdr:from>
    <xdr:ext cx="1262397" cy="311496"/>
    <xdr:sp macro="" textlink="">
      <xdr:nvSpPr>
        <xdr:cNvPr id="4" name="TextBox 3">
          <a:extLst>
            <a:ext uri="{FF2B5EF4-FFF2-40B4-BE49-F238E27FC236}">
              <a16:creationId xmlns:a16="http://schemas.microsoft.com/office/drawing/2014/main" id="{0C13A1E0-8856-478F-8EFB-5CDA6B0DE11D}"/>
            </a:ext>
          </a:extLst>
        </xdr:cNvPr>
        <xdr:cNvSpPr txBox="1"/>
      </xdr:nvSpPr>
      <xdr:spPr>
        <a:xfrm>
          <a:off x="19678650" y="24403050"/>
          <a:ext cx="126239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oneCellAnchor>
    <xdr:from>
      <xdr:col>31</xdr:col>
      <xdr:colOff>571500</xdr:colOff>
      <xdr:row>80</xdr:row>
      <xdr:rowOff>123825</xdr:rowOff>
    </xdr:from>
    <xdr:ext cx="1262397" cy="311496"/>
    <xdr:sp macro="" textlink="">
      <xdr:nvSpPr>
        <xdr:cNvPr id="26" name="TextBox 25">
          <a:extLst>
            <a:ext uri="{FF2B5EF4-FFF2-40B4-BE49-F238E27FC236}">
              <a16:creationId xmlns:a16="http://schemas.microsoft.com/office/drawing/2014/main" id="{00BB8276-808B-4756-A8D9-CD06E823E97E}"/>
            </a:ext>
          </a:extLst>
        </xdr:cNvPr>
        <xdr:cNvSpPr txBox="1"/>
      </xdr:nvSpPr>
      <xdr:spPr>
        <a:xfrm>
          <a:off x="19735800" y="13935075"/>
          <a:ext cx="126239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twoCellAnchor>
    <xdr:from>
      <xdr:col>58</xdr:col>
      <xdr:colOff>452438</xdr:colOff>
      <xdr:row>12</xdr:row>
      <xdr:rowOff>71438</xdr:rowOff>
    </xdr:from>
    <xdr:to>
      <xdr:col>59</xdr:col>
      <xdr:colOff>392906</xdr:colOff>
      <xdr:row>13</xdr:row>
      <xdr:rowOff>95250</xdr:rowOff>
    </xdr:to>
    <xdr:sp macro="" textlink="">
      <xdr:nvSpPr>
        <xdr:cNvPr id="2" name="TextBox 1">
          <a:extLst>
            <a:ext uri="{FF2B5EF4-FFF2-40B4-BE49-F238E27FC236}">
              <a16:creationId xmlns:a16="http://schemas.microsoft.com/office/drawing/2014/main" id="{D73173CA-C324-4FD6-A256-125B1813A428}"/>
            </a:ext>
          </a:extLst>
        </xdr:cNvPr>
        <xdr:cNvSpPr txBox="1"/>
      </xdr:nvSpPr>
      <xdr:spPr>
        <a:xfrm>
          <a:off x="36611719" y="2416969"/>
          <a:ext cx="547687" cy="2143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50" b="1">
              <a:solidFill>
                <a:sysClr val="windowText" lastClr="000000"/>
              </a:solidFill>
            </a:rPr>
            <a:t>798.3</a:t>
          </a:r>
        </a:p>
      </xdr:txBody>
    </xdr:sp>
    <xdr:clientData/>
  </xdr:twoCellAnchor>
</xdr:wsDr>
</file>

<file path=xl/drawings/drawing68.xml><?xml version="1.0" encoding="utf-8"?>
<c:userShapes xmlns:c="http://schemas.openxmlformats.org/drawingml/2006/chart">
  <cdr:relSizeAnchor xmlns:cdr="http://schemas.openxmlformats.org/drawingml/2006/chartDrawing">
    <cdr:from>
      <cdr:x>0.96035</cdr:x>
      <cdr:y>0.95226</cdr:y>
    </cdr:from>
    <cdr:to>
      <cdr:x>0.99816</cdr:x>
      <cdr:y>0.99457</cdr:y>
    </cdr:to>
    <cdr:pic>
      <cdr:nvPicPr>
        <cdr:cNvPr id="9" name="图片 1">
          <a:extLst xmlns:a="http://schemas.openxmlformats.org/drawingml/2006/main">
            <a:ext uri="{FF2B5EF4-FFF2-40B4-BE49-F238E27FC236}">
              <a16:creationId xmlns:a16="http://schemas.microsoft.com/office/drawing/2014/main" id="{B9028B35-9935-41E3-9D77-091A50C5895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98581" y="6349206"/>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0.03663</cdr:x>
      <cdr:y>0.22908</cdr:y>
    </cdr:from>
    <cdr:to>
      <cdr:x>0.10096</cdr:x>
      <cdr:y>0.34593</cdr:y>
    </cdr:to>
    <cdr:grpSp>
      <cdr:nvGrpSpPr>
        <cdr:cNvPr id="8" name="Group 7">
          <a:extLst xmlns:a="http://schemas.openxmlformats.org/drawingml/2006/main">
            <a:ext uri="{FF2B5EF4-FFF2-40B4-BE49-F238E27FC236}">
              <a16:creationId xmlns:a16="http://schemas.microsoft.com/office/drawing/2014/main" id="{CA9A6E78-3AD8-418F-852E-B8EFC528B82E}"/>
            </a:ext>
          </a:extLst>
        </cdr:cNvPr>
        <cdr:cNvGrpSpPr/>
      </cdr:nvGrpSpPr>
      <cdr:grpSpPr>
        <a:xfrm xmlns:a="http://schemas.openxmlformats.org/drawingml/2006/main">
          <a:off x="822097" y="1562848"/>
          <a:ext cx="1443777" cy="797184"/>
          <a:chOff x="781050" y="1419225"/>
          <a:chExt cx="1371600" cy="723900"/>
        </a:xfrm>
      </cdr:grpSpPr>
      <cdr:grpSp>
        <cdr:nvGrpSpPr>
          <cdr:cNvPr id="5" name="Group 4">
            <a:extLst xmlns:a="http://schemas.openxmlformats.org/drawingml/2006/main">
              <a:ext uri="{FF2B5EF4-FFF2-40B4-BE49-F238E27FC236}">
                <a16:creationId xmlns:a16="http://schemas.microsoft.com/office/drawing/2014/main" id="{D72AC2A2-958F-4E08-A025-D0B6CA5C1CEB}"/>
              </a:ext>
            </a:extLst>
          </cdr:cNvPr>
          <cdr:cNvGrpSpPr/>
        </cdr:nvGrpSpPr>
        <cdr:grpSpPr>
          <a:xfrm xmlns:a="http://schemas.openxmlformats.org/drawingml/2006/main">
            <a:off x="952500" y="1447800"/>
            <a:ext cx="1022510" cy="593304"/>
            <a:chOff x="2447925" y="1162050"/>
            <a:chExt cx="1022510" cy="593304"/>
          </a:xfrm>
        </cdr:grpSpPr>
        <cdr:sp macro="" textlink="">
          <cdr:nvSpPr>
            <cdr:cNvPr id="3" name="TextBox 2">
              <a:extLst xmlns:a="http://schemas.openxmlformats.org/drawingml/2006/main">
                <a:ext uri="{FF2B5EF4-FFF2-40B4-BE49-F238E27FC236}">
                  <a16:creationId xmlns:a16="http://schemas.microsoft.com/office/drawing/2014/main" id="{6F57DE19-F3D3-4E9B-9D46-2EA42625845C}"/>
                </a:ext>
              </a:extLst>
            </cdr:cNvPr>
            <cdr:cNvSpPr txBox="1"/>
          </cdr:nvSpPr>
          <cdr:spPr>
            <a:xfrm xmlns:a="http://schemas.openxmlformats.org/drawingml/2006/main">
              <a:off x="2600325" y="1162050"/>
              <a:ext cx="870110" cy="593304"/>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a:t>Foreign</a:t>
              </a:r>
            </a:p>
            <a:p xmlns:a="http://schemas.openxmlformats.org/drawingml/2006/main">
              <a:endParaRPr lang="en-GB" sz="400"/>
            </a:p>
            <a:p xmlns:a="http://schemas.openxmlformats.org/drawingml/2006/main">
              <a:r>
                <a:rPr lang="en-GB" sz="1400"/>
                <a:t>Domestic</a:t>
              </a:r>
            </a:p>
          </cdr:txBody>
        </cdr:sp>
        <cdr:sp macro="" textlink="">
          <cdr:nvSpPr>
            <cdr:cNvPr id="4" name="Rectangle 3">
              <a:extLst xmlns:a="http://schemas.openxmlformats.org/drawingml/2006/main">
                <a:ext uri="{FF2B5EF4-FFF2-40B4-BE49-F238E27FC236}">
                  <a16:creationId xmlns:a16="http://schemas.microsoft.com/office/drawing/2014/main" id="{0855BEEA-B1E7-42CA-A55B-12A9CC24B315}"/>
                </a:ext>
              </a:extLst>
            </cdr:cNvPr>
            <cdr:cNvSpPr/>
          </cdr:nvSpPr>
          <cdr:spPr>
            <a:xfrm xmlns:a="http://schemas.openxmlformats.org/drawingml/2006/main">
              <a:off x="2447925" y="1266825"/>
              <a:ext cx="133350" cy="123825"/>
            </a:xfrm>
            <a:prstGeom xmlns:a="http://schemas.openxmlformats.org/drawingml/2006/main" prst="rect">
              <a:avLst/>
            </a:prstGeom>
            <a:solidFill xmlns:a="http://schemas.openxmlformats.org/drawingml/2006/main">
              <a:schemeClr val="bg1">
                <a:lumMod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Rectangle 5">
              <a:extLst xmlns:a="http://schemas.openxmlformats.org/drawingml/2006/main">
                <a:ext uri="{FF2B5EF4-FFF2-40B4-BE49-F238E27FC236}">
                  <a16:creationId xmlns:a16="http://schemas.microsoft.com/office/drawing/2014/main" id="{D74918C9-1146-4DE6-BE53-17FAAF07F811}"/>
                </a:ext>
              </a:extLst>
            </cdr:cNvPr>
            <cdr:cNvSpPr/>
          </cdr:nvSpPr>
          <cdr:spPr>
            <a:xfrm xmlns:a="http://schemas.openxmlformats.org/drawingml/2006/main">
              <a:off x="2451100" y="1546225"/>
              <a:ext cx="133350" cy="1238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grpSp>
      <cdr:sp macro="" textlink="">
        <cdr:nvSpPr>
          <cdr:cNvPr id="7" name="Rectangle 6">
            <a:extLst xmlns:a="http://schemas.openxmlformats.org/drawingml/2006/main">
              <a:ext uri="{FF2B5EF4-FFF2-40B4-BE49-F238E27FC236}">
                <a16:creationId xmlns:a16="http://schemas.microsoft.com/office/drawing/2014/main" id="{98CF59C5-7184-4B40-9AC1-5481E67F9E0F}"/>
              </a:ext>
            </a:extLst>
          </cdr:cNvPr>
          <cdr:cNvSpPr/>
        </cdr:nvSpPr>
        <cdr:spPr>
          <a:xfrm xmlns:a="http://schemas.openxmlformats.org/drawingml/2006/main">
            <a:off x="781050" y="1419225"/>
            <a:ext cx="1371600" cy="723900"/>
          </a:xfrm>
          <a:prstGeom xmlns:a="http://schemas.openxmlformats.org/drawingml/2006/main" prst="rect">
            <a:avLst/>
          </a:prstGeom>
          <a:noFill xmlns:a="http://schemas.openxmlformats.org/drawingml/2006/main"/>
          <a:ln xmlns:a="http://schemas.openxmlformats.org/drawingml/2006/main" w="635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userShapes>
</file>

<file path=xl/drawings/drawing69.xml><?xml version="1.0" encoding="utf-8"?>
<c:userShapes xmlns:c="http://schemas.openxmlformats.org/drawingml/2006/chart">
  <cdr:relSizeAnchor xmlns:cdr="http://schemas.openxmlformats.org/drawingml/2006/chartDrawing">
    <cdr:from>
      <cdr:x>0.95961</cdr:x>
      <cdr:y>0.95048</cdr:y>
    </cdr:from>
    <cdr:to>
      <cdr:x>0.99741</cdr:x>
      <cdr:y>0.99279</cdr:y>
    </cdr:to>
    <cdr:pic>
      <cdr:nvPicPr>
        <cdr:cNvPr id="2" name="图片 1">
          <a:extLst xmlns:a="http://schemas.openxmlformats.org/drawingml/2006/main">
            <a:ext uri="{FF2B5EF4-FFF2-40B4-BE49-F238E27FC236}">
              <a16:creationId xmlns:a16="http://schemas.microsoft.com/office/drawing/2014/main" id="{1281102C-EDBA-470D-B043-B88941EFEA1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86675" y="6337300"/>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0.xml><?xml version="1.0" encoding="utf-8"?>
<c:userShapes xmlns:c="http://schemas.openxmlformats.org/drawingml/2006/chart">
  <cdr:relSizeAnchor xmlns:cdr="http://schemas.openxmlformats.org/drawingml/2006/chartDrawing">
    <cdr:from>
      <cdr:x>0.94408</cdr:x>
      <cdr:y>0.92711</cdr:y>
    </cdr:from>
    <cdr:to>
      <cdr:x>0.99169</cdr:x>
      <cdr:y>0.98582</cdr:y>
    </cdr:to>
    <cdr:pic>
      <cdr:nvPicPr>
        <cdr:cNvPr id="2" name="图片 1">
          <a:extLst xmlns:a="http://schemas.openxmlformats.org/drawingml/2006/main">
            <a:ext uri="{FF2B5EF4-FFF2-40B4-BE49-F238E27FC236}">
              <a16:creationId xmlns:a16="http://schemas.microsoft.com/office/drawing/2014/main" id="{475915D9-144D-49CA-8317-C4DEB3DC7D6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19382014" y="6210300"/>
          <a:ext cx="977398" cy="3932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1.xml><?xml version="1.0" encoding="utf-8"?>
<xdr:wsDr xmlns:xdr="http://schemas.openxmlformats.org/drawingml/2006/spreadsheetDrawing" xmlns:a="http://schemas.openxmlformats.org/drawingml/2006/main">
  <xdr:twoCellAnchor>
    <xdr:from>
      <xdr:col>11</xdr:col>
      <xdr:colOff>0</xdr:colOff>
      <xdr:row>7</xdr:row>
      <xdr:rowOff>0</xdr:rowOff>
    </xdr:from>
    <xdr:to>
      <xdr:col>50</xdr:col>
      <xdr:colOff>599281</xdr:colOff>
      <xdr:row>42</xdr:row>
      <xdr:rowOff>0</xdr:rowOff>
    </xdr:to>
    <xdr:graphicFrame macro="">
      <xdr:nvGraphicFramePr>
        <xdr:cNvPr id="2" name="Chart 1">
          <a:extLst>
            <a:ext uri="{FF2B5EF4-FFF2-40B4-BE49-F238E27FC236}">
              <a16:creationId xmlns:a16="http://schemas.microsoft.com/office/drawing/2014/main" id="{6183A05C-99A3-4BBD-B5D9-0AEBA4CD5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19050</xdr:colOff>
      <xdr:row>46</xdr:row>
      <xdr:rowOff>9525</xdr:rowOff>
    </xdr:from>
    <xdr:ext cx="1268296" cy="311496"/>
    <xdr:sp macro="" textlink="">
      <xdr:nvSpPr>
        <xdr:cNvPr id="3" name="TextBox 2">
          <a:extLst>
            <a:ext uri="{FF2B5EF4-FFF2-40B4-BE49-F238E27FC236}">
              <a16:creationId xmlns:a16="http://schemas.microsoft.com/office/drawing/2014/main" id="{DC5C4D32-2563-4D79-84FE-9E33A56B1B8E}"/>
            </a:ext>
          </a:extLst>
        </xdr:cNvPr>
        <xdr:cNvSpPr txBox="1"/>
      </xdr:nvSpPr>
      <xdr:spPr>
        <a:xfrm>
          <a:off x="8162925" y="8562975"/>
          <a:ext cx="126829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72.xml><?xml version="1.0" encoding="utf-8"?>
<c:userShapes xmlns:c="http://schemas.openxmlformats.org/drawingml/2006/chart">
  <cdr:relSizeAnchor xmlns:cdr="http://schemas.openxmlformats.org/drawingml/2006/chartDrawing">
    <cdr:from>
      <cdr:x>0.95961</cdr:x>
      <cdr:y>0.95048</cdr:y>
    </cdr:from>
    <cdr:to>
      <cdr:x>0.99741</cdr:x>
      <cdr:y>0.99279</cdr:y>
    </cdr:to>
    <cdr:pic>
      <cdr:nvPicPr>
        <cdr:cNvPr id="2" name="图片 1">
          <a:extLst xmlns:a="http://schemas.openxmlformats.org/drawingml/2006/main">
            <a:ext uri="{FF2B5EF4-FFF2-40B4-BE49-F238E27FC236}">
              <a16:creationId xmlns:a16="http://schemas.microsoft.com/office/drawing/2014/main" id="{1281102C-EDBA-470D-B043-B88941EFEA1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0386675" y="6337300"/>
          <a:ext cx="803065" cy="2821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3.xml><?xml version="1.0" encoding="utf-8"?>
<xdr:wsDr xmlns:xdr="http://schemas.openxmlformats.org/drawingml/2006/spreadsheetDrawing" xmlns:a="http://schemas.openxmlformats.org/drawingml/2006/main">
  <xdr:twoCellAnchor>
    <xdr:from>
      <xdr:col>1</xdr:col>
      <xdr:colOff>0</xdr:colOff>
      <xdr:row>5</xdr:row>
      <xdr:rowOff>0</xdr:rowOff>
    </xdr:from>
    <xdr:to>
      <xdr:col>4</xdr:col>
      <xdr:colOff>2190749</xdr:colOff>
      <xdr:row>22</xdr:row>
      <xdr:rowOff>178593</xdr:rowOff>
    </xdr:to>
    <xdr:graphicFrame macro="">
      <xdr:nvGraphicFramePr>
        <xdr:cNvPr id="2" name="Chart 1">
          <a:extLst>
            <a:ext uri="{FF2B5EF4-FFF2-40B4-BE49-F238E27FC236}">
              <a16:creationId xmlns:a16="http://schemas.microsoft.com/office/drawing/2014/main" id="{C27F2B5E-9CFB-4386-81FE-465C448368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xdr:row>
      <xdr:rowOff>0</xdr:rowOff>
    </xdr:from>
    <xdr:to>
      <xdr:col>8</xdr:col>
      <xdr:colOff>2214563</xdr:colOff>
      <xdr:row>23</xdr:row>
      <xdr:rowOff>0</xdr:rowOff>
    </xdr:to>
    <xdr:graphicFrame macro="">
      <xdr:nvGraphicFramePr>
        <xdr:cNvPr id="3" name="Chart 2">
          <a:extLst>
            <a:ext uri="{FF2B5EF4-FFF2-40B4-BE49-F238E27FC236}">
              <a16:creationId xmlns:a16="http://schemas.microsoft.com/office/drawing/2014/main" id="{8B2EDB83-3046-472F-B343-D7F1E3ED2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xdr:row>
      <xdr:rowOff>0</xdr:rowOff>
    </xdr:from>
    <xdr:to>
      <xdr:col>12</xdr:col>
      <xdr:colOff>2214562</xdr:colOff>
      <xdr:row>23</xdr:row>
      <xdr:rowOff>0</xdr:rowOff>
    </xdr:to>
    <xdr:graphicFrame macro="">
      <xdr:nvGraphicFramePr>
        <xdr:cNvPr id="4" name="Chart 3">
          <a:extLst>
            <a:ext uri="{FF2B5EF4-FFF2-40B4-BE49-F238E27FC236}">
              <a16:creationId xmlns:a16="http://schemas.microsoft.com/office/drawing/2014/main" id="{365AC22B-1ED1-4608-83A0-CBF1347E3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24</xdr:row>
      <xdr:rowOff>0</xdr:rowOff>
    </xdr:from>
    <xdr:to>
      <xdr:col>4</xdr:col>
      <xdr:colOff>2202656</xdr:colOff>
      <xdr:row>41</xdr:row>
      <xdr:rowOff>178593</xdr:rowOff>
    </xdr:to>
    <xdr:graphicFrame macro="">
      <xdr:nvGraphicFramePr>
        <xdr:cNvPr id="5" name="Chart 4">
          <a:extLst>
            <a:ext uri="{FF2B5EF4-FFF2-40B4-BE49-F238E27FC236}">
              <a16:creationId xmlns:a16="http://schemas.microsoft.com/office/drawing/2014/main" id="{A3734A94-1873-4E18-ADC8-E27A1DF1F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24</xdr:row>
      <xdr:rowOff>0</xdr:rowOff>
    </xdr:from>
    <xdr:to>
      <xdr:col>8</xdr:col>
      <xdr:colOff>2202657</xdr:colOff>
      <xdr:row>41</xdr:row>
      <xdr:rowOff>178593</xdr:rowOff>
    </xdr:to>
    <xdr:graphicFrame macro="">
      <xdr:nvGraphicFramePr>
        <xdr:cNvPr id="6" name="Chart 5">
          <a:extLst>
            <a:ext uri="{FF2B5EF4-FFF2-40B4-BE49-F238E27FC236}">
              <a16:creationId xmlns:a16="http://schemas.microsoft.com/office/drawing/2014/main" id="{A514DD1C-FE07-4517-845D-15B5F64AE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278606</xdr:colOff>
      <xdr:row>20</xdr:row>
      <xdr:rowOff>161925</xdr:rowOff>
    </xdr:from>
    <xdr:to>
      <xdr:col>4</xdr:col>
      <xdr:colOff>1804988</xdr:colOff>
      <xdr:row>22</xdr:row>
      <xdr:rowOff>123825</xdr:rowOff>
    </xdr:to>
    <xdr:sp macro="" textlink="">
      <xdr:nvSpPr>
        <xdr:cNvPr id="7" name="Rectangle 6">
          <a:extLst>
            <a:ext uri="{FF2B5EF4-FFF2-40B4-BE49-F238E27FC236}">
              <a16:creationId xmlns:a16="http://schemas.microsoft.com/office/drawing/2014/main" id="{A8D6773D-7A8E-4D10-A607-E628E6F22DF5}"/>
            </a:ext>
          </a:extLst>
        </xdr:cNvPr>
        <xdr:cNvSpPr/>
      </xdr:nvSpPr>
      <xdr:spPr>
        <a:xfrm>
          <a:off x="1859756" y="4191000"/>
          <a:ext cx="5393532" cy="342900"/>
        </a:xfrm>
        <a:prstGeom prst="rect">
          <a:avLst/>
        </a:prstGeom>
        <a:solidFill>
          <a:schemeClr val="bg1">
            <a:lumMod val="85000"/>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17</xdr:col>
      <xdr:colOff>190500</xdr:colOff>
      <xdr:row>98</xdr:row>
      <xdr:rowOff>47625</xdr:rowOff>
    </xdr:from>
    <xdr:ext cx="1268296" cy="311496"/>
    <xdr:sp macro="" textlink="">
      <xdr:nvSpPr>
        <xdr:cNvPr id="8" name="TextBox 7">
          <a:extLst>
            <a:ext uri="{FF2B5EF4-FFF2-40B4-BE49-F238E27FC236}">
              <a16:creationId xmlns:a16="http://schemas.microsoft.com/office/drawing/2014/main" id="{240C149D-0E74-4DD7-B9FA-22E47D00D332}"/>
            </a:ext>
          </a:extLst>
        </xdr:cNvPr>
        <xdr:cNvSpPr txBox="1"/>
      </xdr:nvSpPr>
      <xdr:spPr>
        <a:xfrm>
          <a:off x="27832050" y="18945225"/>
          <a:ext cx="126829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74.xml><?xml version="1.0" encoding="utf-8"?>
<c:userShapes xmlns:c="http://schemas.openxmlformats.org/drawingml/2006/chart">
  <cdr:relSizeAnchor xmlns:cdr="http://schemas.openxmlformats.org/drawingml/2006/chartDrawing">
    <cdr:from>
      <cdr:x>0.04479</cdr:x>
      <cdr:y>0.89176</cdr:y>
    </cdr:from>
    <cdr:to>
      <cdr:x>0.93265</cdr:x>
      <cdr:y>0.98333</cdr:y>
    </cdr:to>
    <cdr:sp macro="" textlink="">
      <cdr:nvSpPr>
        <cdr:cNvPr id="3" name="Rectangle 2">
          <a:extLst xmlns:a="http://schemas.openxmlformats.org/drawingml/2006/main">
            <a:ext uri="{FF2B5EF4-FFF2-40B4-BE49-F238E27FC236}">
              <a16:creationId xmlns:a16="http://schemas.microsoft.com/office/drawing/2014/main" id="{EDE61AD5-290C-42F6-AB6C-644A6C666CD9}"/>
            </a:ext>
          </a:extLst>
        </cdr:cNvPr>
        <cdr:cNvSpPr/>
      </cdr:nvSpPr>
      <cdr:spPr>
        <a:xfrm xmlns:a="http://schemas.openxmlformats.org/drawingml/2006/main">
          <a:off x="272428" y="3057842"/>
          <a:ext cx="5399710" cy="314008"/>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5.xml><?xml version="1.0" encoding="utf-8"?>
<c:userShapes xmlns:c="http://schemas.openxmlformats.org/drawingml/2006/chart">
  <cdr:relSizeAnchor xmlns:cdr="http://schemas.openxmlformats.org/drawingml/2006/chartDrawing">
    <cdr:from>
      <cdr:x>0.04949</cdr:x>
      <cdr:y>0.88387</cdr:y>
    </cdr:from>
    <cdr:to>
      <cdr:x>0.95067</cdr:x>
      <cdr:y>0.97646</cdr:y>
    </cdr:to>
    <cdr:sp macro="" textlink="">
      <cdr:nvSpPr>
        <cdr:cNvPr id="3" name="Rectangle 2">
          <a:extLst xmlns:a="http://schemas.openxmlformats.org/drawingml/2006/main">
            <a:ext uri="{FF2B5EF4-FFF2-40B4-BE49-F238E27FC236}">
              <a16:creationId xmlns:a16="http://schemas.microsoft.com/office/drawing/2014/main" id="{5242C80A-6865-45AC-8335-F1E8ACDF0D4C}"/>
            </a:ext>
          </a:extLst>
        </cdr:cNvPr>
        <cdr:cNvSpPr/>
      </cdr:nvSpPr>
      <cdr:spPr>
        <a:xfrm xmlns:a="http://schemas.openxmlformats.org/drawingml/2006/main">
          <a:off x="301003" y="3030783"/>
          <a:ext cx="5480672" cy="317491"/>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6.xml><?xml version="1.0" encoding="utf-8"?>
<c:userShapes xmlns:c="http://schemas.openxmlformats.org/drawingml/2006/chart">
  <cdr:relSizeAnchor xmlns:cdr="http://schemas.openxmlformats.org/drawingml/2006/chartDrawing">
    <cdr:from>
      <cdr:x>0.04974</cdr:x>
      <cdr:y>0.88174</cdr:y>
    </cdr:from>
    <cdr:to>
      <cdr:x>0.98392</cdr:x>
      <cdr:y>0.98122</cdr:y>
    </cdr:to>
    <cdr:sp macro="" textlink="">
      <cdr:nvSpPr>
        <cdr:cNvPr id="3" name="Rectangle 2">
          <a:extLst xmlns:a="http://schemas.openxmlformats.org/drawingml/2006/main">
            <a:ext uri="{FF2B5EF4-FFF2-40B4-BE49-F238E27FC236}">
              <a16:creationId xmlns:a16="http://schemas.microsoft.com/office/drawing/2014/main" id="{EDE61AD5-290C-42F6-AB6C-644A6C666CD9}"/>
            </a:ext>
          </a:extLst>
        </cdr:cNvPr>
        <cdr:cNvSpPr/>
      </cdr:nvSpPr>
      <cdr:spPr>
        <a:xfrm xmlns:a="http://schemas.openxmlformats.org/drawingml/2006/main">
          <a:off x="301939" y="3012988"/>
          <a:ext cx="5670236" cy="339932"/>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7.xml><?xml version="1.0" encoding="utf-8"?>
<xdr:wsDr xmlns:xdr="http://schemas.openxmlformats.org/drawingml/2006/spreadsheetDrawing" xmlns:a="http://schemas.openxmlformats.org/drawingml/2006/main">
  <xdr:twoCellAnchor>
    <xdr:from>
      <xdr:col>16</xdr:col>
      <xdr:colOff>0</xdr:colOff>
      <xdr:row>7</xdr:row>
      <xdr:rowOff>0</xdr:rowOff>
    </xdr:from>
    <xdr:to>
      <xdr:col>25</xdr:col>
      <xdr:colOff>340658</xdr:colOff>
      <xdr:row>28</xdr:row>
      <xdr:rowOff>0</xdr:rowOff>
    </xdr:to>
    <xdr:graphicFrame macro="">
      <xdr:nvGraphicFramePr>
        <xdr:cNvPr id="9" name="Chart 8">
          <a:extLst>
            <a:ext uri="{FF2B5EF4-FFF2-40B4-BE49-F238E27FC236}">
              <a16:creationId xmlns:a16="http://schemas.microsoft.com/office/drawing/2014/main" id="{80E2D9E2-FF78-4B54-AF84-322B4FA02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33</xdr:row>
      <xdr:rowOff>0</xdr:rowOff>
    </xdr:from>
    <xdr:to>
      <xdr:col>25</xdr:col>
      <xdr:colOff>340658</xdr:colOff>
      <xdr:row>53</xdr:row>
      <xdr:rowOff>179293</xdr:rowOff>
    </xdr:to>
    <xdr:graphicFrame macro="">
      <xdr:nvGraphicFramePr>
        <xdr:cNvPr id="20" name="Chart 19">
          <a:extLst>
            <a:ext uri="{FF2B5EF4-FFF2-40B4-BE49-F238E27FC236}">
              <a16:creationId xmlns:a16="http://schemas.microsoft.com/office/drawing/2014/main" id="{F1EE1FBC-1FFF-4EFC-8AC1-815F8C809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59</xdr:row>
      <xdr:rowOff>0</xdr:rowOff>
    </xdr:from>
    <xdr:to>
      <xdr:col>25</xdr:col>
      <xdr:colOff>340658</xdr:colOff>
      <xdr:row>80</xdr:row>
      <xdr:rowOff>-1</xdr:rowOff>
    </xdr:to>
    <xdr:graphicFrame macro="">
      <xdr:nvGraphicFramePr>
        <xdr:cNvPr id="21" name="Chart 20">
          <a:extLst>
            <a:ext uri="{FF2B5EF4-FFF2-40B4-BE49-F238E27FC236}">
              <a16:creationId xmlns:a16="http://schemas.microsoft.com/office/drawing/2014/main" id="{51146AC1-549A-4DB3-BEDB-48B1917166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85</xdr:row>
      <xdr:rowOff>0</xdr:rowOff>
    </xdr:from>
    <xdr:to>
      <xdr:col>25</xdr:col>
      <xdr:colOff>340658</xdr:colOff>
      <xdr:row>105</xdr:row>
      <xdr:rowOff>179293</xdr:rowOff>
    </xdr:to>
    <xdr:graphicFrame macro="">
      <xdr:nvGraphicFramePr>
        <xdr:cNvPr id="22" name="Chart 21">
          <a:extLst>
            <a:ext uri="{FF2B5EF4-FFF2-40B4-BE49-F238E27FC236}">
              <a16:creationId xmlns:a16="http://schemas.microsoft.com/office/drawing/2014/main" id="{837E0B6E-F061-4E7E-9948-86E4A50A8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111</xdr:row>
      <xdr:rowOff>0</xdr:rowOff>
    </xdr:from>
    <xdr:to>
      <xdr:col>25</xdr:col>
      <xdr:colOff>340658</xdr:colOff>
      <xdr:row>131</xdr:row>
      <xdr:rowOff>179293</xdr:rowOff>
    </xdr:to>
    <xdr:graphicFrame macro="">
      <xdr:nvGraphicFramePr>
        <xdr:cNvPr id="23" name="Chart 22">
          <a:extLst>
            <a:ext uri="{FF2B5EF4-FFF2-40B4-BE49-F238E27FC236}">
              <a16:creationId xmlns:a16="http://schemas.microsoft.com/office/drawing/2014/main" id="{AEF13FD4-0EB2-4198-B20D-21FBCAA3E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8.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0070C0"/>
              </a:solidFill>
            </a:rPr>
            <a:t>(EPO)</a:t>
          </a:r>
          <a:endParaRPr lang="en-US" sz="1200" b="1">
            <a:solidFill>
              <a:srgbClr val="0070C0"/>
            </a:solidFill>
          </a:endParaRPr>
        </a:p>
      </cdr:txBody>
    </cdr:sp>
  </cdr:relSizeAnchor>
  <cdr:relSizeAnchor xmlns:cdr="http://schemas.openxmlformats.org/drawingml/2006/chartDrawing">
    <cdr:from>
      <cdr:x>0.89043</cdr:x>
      <cdr:y>0.12769</cdr:y>
    </cdr:from>
    <cdr:to>
      <cdr:x>1</cdr:x>
      <cdr:y>0.20156</cdr:y>
    </cdr:to>
    <cdr:pic>
      <cdr:nvPicPr>
        <cdr:cNvPr id="3" name="图片 2">
          <a:extLst xmlns:a="http://schemas.openxmlformats.org/drawingml/2006/main">
            <a:ext uri="{FF2B5EF4-FFF2-40B4-BE49-F238E27FC236}">
              <a16:creationId xmlns:a16="http://schemas.microsoft.com/office/drawing/2014/main" id="{37B90B80-8E1D-4F39-BC2C-206E95DAB7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58315" y="491566"/>
          <a:ext cx="720882" cy="2843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9.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FF0000"/>
              </a:solidFill>
            </a:rPr>
            <a:t>(JPO)</a:t>
          </a:r>
          <a:endParaRPr lang="en-US" sz="1200" b="1">
            <a:solidFill>
              <a:srgbClr val="FF0000"/>
            </a:solidFill>
          </a:endParaRPr>
        </a:p>
      </cdr:txBody>
    </cdr:sp>
  </cdr:relSizeAnchor>
  <cdr:relSizeAnchor xmlns:cdr="http://schemas.openxmlformats.org/drawingml/2006/chartDrawing">
    <cdr:from>
      <cdr:x>0.89043</cdr:x>
      <cdr:y>0.12769</cdr:y>
    </cdr:from>
    <cdr:to>
      <cdr:x>1</cdr:x>
      <cdr:y>0.20156</cdr:y>
    </cdr:to>
    <cdr:pic>
      <cdr:nvPicPr>
        <cdr:cNvPr id="3" name="图片 2">
          <a:extLst xmlns:a="http://schemas.openxmlformats.org/drawingml/2006/main">
            <a:ext uri="{FF2B5EF4-FFF2-40B4-BE49-F238E27FC236}">
              <a16:creationId xmlns:a16="http://schemas.microsoft.com/office/drawing/2014/main" id="{37B90B80-8E1D-4F39-BC2C-206E95DAB7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58315" y="491566"/>
          <a:ext cx="720882" cy="2843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0.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7030A0"/>
              </a:solidFill>
            </a:rPr>
            <a:t>(KIPO)</a:t>
          </a:r>
          <a:endParaRPr lang="en-US" sz="1200" b="1">
            <a:solidFill>
              <a:srgbClr val="7030A0"/>
            </a:solidFill>
          </a:endParaRPr>
        </a:p>
      </cdr:txBody>
    </cdr:sp>
  </cdr:relSizeAnchor>
  <cdr:relSizeAnchor xmlns:cdr="http://schemas.openxmlformats.org/drawingml/2006/chartDrawing">
    <cdr:from>
      <cdr:x>0.89043</cdr:x>
      <cdr:y>0.12769</cdr:y>
    </cdr:from>
    <cdr:to>
      <cdr:x>1</cdr:x>
      <cdr:y>0.20156</cdr:y>
    </cdr:to>
    <cdr:pic>
      <cdr:nvPicPr>
        <cdr:cNvPr id="3" name="图片 2">
          <a:extLst xmlns:a="http://schemas.openxmlformats.org/drawingml/2006/main">
            <a:ext uri="{FF2B5EF4-FFF2-40B4-BE49-F238E27FC236}">
              <a16:creationId xmlns:a16="http://schemas.microsoft.com/office/drawing/2014/main" id="{37B90B80-8E1D-4F39-BC2C-206E95DAB7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58315" y="491566"/>
          <a:ext cx="720882" cy="2843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1.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FFC000"/>
              </a:solidFill>
            </a:rPr>
            <a:t>(CNIPA)</a:t>
          </a:r>
          <a:endParaRPr lang="en-US" sz="1200" b="1">
            <a:solidFill>
              <a:srgbClr val="FFC000"/>
            </a:solidFill>
          </a:endParaRPr>
        </a:p>
      </cdr:txBody>
    </cdr:sp>
  </cdr:relSizeAnchor>
  <cdr:relSizeAnchor xmlns:cdr="http://schemas.openxmlformats.org/drawingml/2006/chartDrawing">
    <cdr:from>
      <cdr:x>0.89043</cdr:x>
      <cdr:y>0.12769</cdr:y>
    </cdr:from>
    <cdr:to>
      <cdr:x>1</cdr:x>
      <cdr:y>0.20156</cdr:y>
    </cdr:to>
    <cdr:pic>
      <cdr:nvPicPr>
        <cdr:cNvPr id="3" name="图片 2">
          <a:extLst xmlns:a="http://schemas.openxmlformats.org/drawingml/2006/main">
            <a:ext uri="{FF2B5EF4-FFF2-40B4-BE49-F238E27FC236}">
              <a16:creationId xmlns:a16="http://schemas.microsoft.com/office/drawing/2014/main" id="{37B90B80-8E1D-4F39-BC2C-206E95DAB7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58315" y="491566"/>
          <a:ext cx="720882" cy="2843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2.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FFC000"/>
              </a:solidFill>
            </a:rPr>
            <a:t>(CNIPA)</a:t>
          </a:r>
          <a:endParaRPr lang="en-US" sz="1200" b="1">
            <a:solidFill>
              <a:srgbClr val="FFC000"/>
            </a:solidFill>
          </a:endParaRPr>
        </a:p>
      </cdr:txBody>
    </cdr:sp>
  </cdr:relSizeAnchor>
  <cdr:relSizeAnchor xmlns:cdr="http://schemas.openxmlformats.org/drawingml/2006/chartDrawing">
    <cdr:from>
      <cdr:x>0.89043</cdr:x>
      <cdr:y>0.12769</cdr:y>
    </cdr:from>
    <cdr:to>
      <cdr:x>1</cdr:x>
      <cdr:y>0.20156</cdr:y>
    </cdr:to>
    <cdr:pic>
      <cdr:nvPicPr>
        <cdr:cNvPr id="3" name="图片 2">
          <a:extLst xmlns:a="http://schemas.openxmlformats.org/drawingml/2006/main">
            <a:ext uri="{FF2B5EF4-FFF2-40B4-BE49-F238E27FC236}">
              <a16:creationId xmlns:a16="http://schemas.microsoft.com/office/drawing/2014/main" id="{37B90B80-8E1D-4F39-BC2C-206E95DAB7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58315" y="491566"/>
          <a:ext cx="720882" cy="2843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3.xml><?xml version="1.0" encoding="utf-8"?>
<xdr:wsDr xmlns:xdr="http://schemas.openxmlformats.org/drawingml/2006/spreadsheetDrawing" xmlns:a="http://schemas.openxmlformats.org/drawingml/2006/main">
  <xdr:twoCellAnchor>
    <xdr:from>
      <xdr:col>18</xdr:col>
      <xdr:colOff>583407</xdr:colOff>
      <xdr:row>5</xdr:row>
      <xdr:rowOff>1</xdr:rowOff>
    </xdr:from>
    <xdr:to>
      <xdr:col>34</xdr:col>
      <xdr:colOff>23813</xdr:colOff>
      <xdr:row>31</xdr:row>
      <xdr:rowOff>1</xdr:rowOff>
    </xdr:to>
    <xdr:graphicFrame macro="">
      <xdr:nvGraphicFramePr>
        <xdr:cNvPr id="29" name="Chart 28">
          <a:extLst>
            <a:ext uri="{FF2B5EF4-FFF2-40B4-BE49-F238E27FC236}">
              <a16:creationId xmlns:a16="http://schemas.microsoft.com/office/drawing/2014/main" id="{766C2812-B01E-468B-A1F7-5F798A3BB8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11905</xdr:colOff>
      <xdr:row>34</xdr:row>
      <xdr:rowOff>1</xdr:rowOff>
    </xdr:from>
    <xdr:to>
      <xdr:col>34</xdr:col>
      <xdr:colOff>11906</xdr:colOff>
      <xdr:row>56</xdr:row>
      <xdr:rowOff>0</xdr:rowOff>
    </xdr:to>
    <xdr:graphicFrame macro="">
      <xdr:nvGraphicFramePr>
        <xdr:cNvPr id="31" name="Chart 30">
          <a:extLst>
            <a:ext uri="{FF2B5EF4-FFF2-40B4-BE49-F238E27FC236}">
              <a16:creationId xmlns:a16="http://schemas.microsoft.com/office/drawing/2014/main" id="{418E139E-AE23-401F-94DB-D598F77D0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11905</xdr:colOff>
      <xdr:row>63</xdr:row>
      <xdr:rowOff>0</xdr:rowOff>
    </xdr:from>
    <xdr:to>
      <xdr:col>34</xdr:col>
      <xdr:colOff>11905</xdr:colOff>
      <xdr:row>86</xdr:row>
      <xdr:rowOff>178594</xdr:rowOff>
    </xdr:to>
    <xdr:graphicFrame macro="">
      <xdr:nvGraphicFramePr>
        <xdr:cNvPr id="32" name="Chart 31">
          <a:extLst>
            <a:ext uri="{FF2B5EF4-FFF2-40B4-BE49-F238E27FC236}">
              <a16:creationId xmlns:a16="http://schemas.microsoft.com/office/drawing/2014/main" id="{255C5678-75E4-48D1-AAFD-46873F8CF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11905</xdr:colOff>
      <xdr:row>92</xdr:row>
      <xdr:rowOff>11907</xdr:rowOff>
    </xdr:from>
    <xdr:to>
      <xdr:col>34</xdr:col>
      <xdr:colOff>11905</xdr:colOff>
      <xdr:row>116</xdr:row>
      <xdr:rowOff>178594</xdr:rowOff>
    </xdr:to>
    <xdr:graphicFrame macro="">
      <xdr:nvGraphicFramePr>
        <xdr:cNvPr id="33" name="Chart 32">
          <a:extLst>
            <a:ext uri="{FF2B5EF4-FFF2-40B4-BE49-F238E27FC236}">
              <a16:creationId xmlns:a16="http://schemas.microsoft.com/office/drawing/2014/main" id="{CF70A3D0-B0CC-46A3-8CBF-9F9CA0B9F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xdr:colOff>
      <xdr:row>120</xdr:row>
      <xdr:rowOff>178593</xdr:rowOff>
    </xdr:from>
    <xdr:to>
      <xdr:col>33</xdr:col>
      <xdr:colOff>595311</xdr:colOff>
      <xdr:row>147</xdr:row>
      <xdr:rowOff>118084</xdr:rowOff>
    </xdr:to>
    <xdr:graphicFrame macro="">
      <xdr:nvGraphicFramePr>
        <xdr:cNvPr id="35" name="Chart 34">
          <a:extLst>
            <a:ext uri="{FF2B5EF4-FFF2-40B4-BE49-F238E27FC236}">
              <a16:creationId xmlns:a16="http://schemas.microsoft.com/office/drawing/2014/main" id="{F43C16BA-5E99-45D1-87E3-A43BC2886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4.xml><?xml version="1.0" encoding="utf-8"?>
<c:userShapes xmlns:c="http://schemas.openxmlformats.org/drawingml/2006/chart">
  <cdr:relSizeAnchor xmlns:cdr="http://schemas.openxmlformats.org/drawingml/2006/chartDrawing">
    <cdr:from>
      <cdr:x>0.90366</cdr:x>
      <cdr:y>0.9107</cdr:y>
    </cdr:from>
    <cdr:to>
      <cdr:x>0.99211</cdr:x>
      <cdr:y>0.97395</cdr:y>
    </cdr:to>
    <cdr:pic>
      <cdr:nvPicPr>
        <cdr:cNvPr id="3" name="图片 2">
          <a:extLst xmlns:a="http://schemas.openxmlformats.org/drawingml/2006/main">
            <a:ext uri="{FF2B5EF4-FFF2-40B4-BE49-F238E27FC236}">
              <a16:creationId xmlns:a16="http://schemas.microsoft.com/office/drawing/2014/main" id="{304F7E3E-997B-42B7-9941-CEE8052968E6}"/>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271" y="4540624"/>
          <a:ext cx="776442" cy="3153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0.88498</cdr:x>
      <cdr:y>0.11681</cdr:y>
    </cdr:from>
    <cdr:to>
      <cdr:x>0.99235</cdr:x>
      <cdr:y>0.18123</cdr:y>
    </cdr:to>
    <cdr:sp macro="" textlink="">
      <cdr:nvSpPr>
        <cdr:cNvPr id="5" name="TextBox 4">
          <a:extLst xmlns:a="http://schemas.openxmlformats.org/drawingml/2006/main">
            <a:ext uri="{FF2B5EF4-FFF2-40B4-BE49-F238E27FC236}">
              <a16:creationId xmlns:a16="http://schemas.microsoft.com/office/drawing/2014/main" id="{E990DAA1-13F3-4206-8751-85C471352F10}"/>
            </a:ext>
          </a:extLst>
        </cdr:cNvPr>
        <cdr:cNvSpPr txBox="1"/>
      </cdr:nvSpPr>
      <cdr:spPr>
        <a:xfrm xmlns:a="http://schemas.openxmlformats.org/drawingml/2006/main">
          <a:off x="8073963" y="593738"/>
          <a:ext cx="979578" cy="32744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EPC states</a:t>
          </a:r>
        </a:p>
      </cdr:txBody>
    </cdr:sp>
  </cdr:relSizeAnchor>
  <cdr:relSizeAnchor xmlns:cdr="http://schemas.openxmlformats.org/drawingml/2006/chartDrawing">
    <cdr:from>
      <cdr:x>0.88686</cdr:x>
      <cdr:y>0.28475</cdr:y>
    </cdr:from>
    <cdr:to>
      <cdr:x>0.94141</cdr:x>
      <cdr:y>0.34917</cdr:y>
    </cdr:to>
    <cdr:sp macro="" textlink="">
      <cdr:nvSpPr>
        <cdr:cNvPr id="6"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091205" y="1447395"/>
          <a:ext cx="497590"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a:t>
          </a:r>
        </a:p>
      </cdr:txBody>
    </cdr:sp>
  </cdr:relSizeAnchor>
  <cdr:relSizeAnchor xmlns:cdr="http://schemas.openxmlformats.org/drawingml/2006/chartDrawing">
    <cdr:from>
      <cdr:x>0.88579</cdr:x>
      <cdr:y>0.32675</cdr:y>
    </cdr:from>
    <cdr:to>
      <cdr:x>0.95518</cdr:x>
      <cdr:y>0.39117</cdr:y>
    </cdr:to>
    <cdr:sp macro="" textlink="">
      <cdr:nvSpPr>
        <cdr:cNvPr id="7"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081353" y="1660862"/>
          <a:ext cx="633072"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Japan</a:t>
          </a:r>
        </a:p>
      </cdr:txBody>
    </cdr:sp>
  </cdr:relSizeAnchor>
  <cdr:relSizeAnchor xmlns:cdr="http://schemas.openxmlformats.org/drawingml/2006/chartDrawing">
    <cdr:from>
      <cdr:x>0.88778</cdr:x>
      <cdr:y>0.48679</cdr:y>
    </cdr:from>
    <cdr:to>
      <cdr:x>0.93092</cdr:x>
      <cdr:y>0.55121</cdr:y>
    </cdr:to>
    <cdr:sp macro="" textlink="">
      <cdr:nvSpPr>
        <cdr:cNvPr id="8"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099510" y="2474348"/>
          <a:ext cx="393582"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tx1"/>
              </a:solidFill>
            </a:rPr>
            <a:t>All</a:t>
          </a:r>
        </a:p>
      </cdr:txBody>
    </cdr:sp>
  </cdr:relSizeAnchor>
  <cdr:relSizeAnchor xmlns:cdr="http://schemas.openxmlformats.org/drawingml/2006/chartDrawing">
    <cdr:from>
      <cdr:x>0.88824</cdr:x>
      <cdr:y>0.53125</cdr:y>
    </cdr:from>
    <cdr:to>
      <cdr:x>0.97997</cdr:x>
      <cdr:y>0.59567</cdr:y>
    </cdr:to>
    <cdr:sp macro="" textlink="">
      <cdr:nvSpPr>
        <cdr:cNvPr id="9"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103707" y="2700322"/>
          <a:ext cx="836888"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R. Korea</a:t>
          </a:r>
        </a:p>
      </cdr:txBody>
    </cdr:sp>
  </cdr:relSizeAnchor>
  <cdr:relSizeAnchor xmlns:cdr="http://schemas.openxmlformats.org/drawingml/2006/chartDrawing">
    <cdr:from>
      <cdr:x>0.88846</cdr:x>
      <cdr:y>0.56979</cdr:y>
    </cdr:from>
    <cdr:to>
      <cdr:x>0.9665</cdr:x>
      <cdr:y>0.63421</cdr:y>
    </cdr:to>
    <cdr:sp macro="" textlink="">
      <cdr:nvSpPr>
        <cdr:cNvPr id="10"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105759" y="2896258"/>
          <a:ext cx="711989"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accent2"/>
              </a:solidFill>
            </a:rPr>
            <a:t>Others</a:t>
          </a:r>
        </a:p>
      </cdr:txBody>
    </cdr:sp>
  </cdr:relSizeAnchor>
  <cdr:relSizeAnchor xmlns:cdr="http://schemas.openxmlformats.org/drawingml/2006/chartDrawing">
    <cdr:from>
      <cdr:x>0.88217</cdr:x>
      <cdr:y>0.66237</cdr:y>
    </cdr:from>
    <cdr:to>
      <cdr:x>0.98819</cdr:x>
      <cdr:y>0.72679</cdr:y>
    </cdr:to>
    <cdr:sp macro="" textlink="">
      <cdr:nvSpPr>
        <cdr:cNvPr id="11"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8048373" y="3366841"/>
          <a:ext cx="967261"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P.R. China</a:t>
          </a:r>
        </a:p>
      </cdr:txBody>
    </cdr:sp>
  </cdr:relSizeAnchor>
</c:userShapes>
</file>

<file path=xl/drawings/drawing85.xml><?xml version="1.0" encoding="utf-8"?>
<c:userShapes xmlns:c="http://schemas.openxmlformats.org/drawingml/2006/chart">
  <cdr:relSizeAnchor xmlns:cdr="http://schemas.openxmlformats.org/drawingml/2006/chartDrawing">
    <cdr:from>
      <cdr:x>0.90366</cdr:x>
      <cdr:y>0.9107</cdr:y>
    </cdr:from>
    <cdr:to>
      <cdr:x>0.99211</cdr:x>
      <cdr:y>0.97395</cdr:y>
    </cdr:to>
    <cdr:pic>
      <cdr:nvPicPr>
        <cdr:cNvPr id="3" name="图片 2">
          <a:extLst xmlns:a="http://schemas.openxmlformats.org/drawingml/2006/main">
            <a:ext uri="{FF2B5EF4-FFF2-40B4-BE49-F238E27FC236}">
              <a16:creationId xmlns:a16="http://schemas.microsoft.com/office/drawing/2014/main" id="{304F7E3E-997B-42B7-9941-CEE8052968E6}"/>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271" y="4540624"/>
          <a:ext cx="776442" cy="3153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0.87691</cdr:x>
      <cdr:y>0.20112</cdr:y>
    </cdr:from>
    <cdr:to>
      <cdr:x>0.93219</cdr:x>
      <cdr:y>0.26554</cdr:y>
    </cdr:to>
    <cdr:sp macro="" textlink="">
      <cdr:nvSpPr>
        <cdr:cNvPr id="5" name="TextBox 4">
          <a:extLst xmlns:a="http://schemas.openxmlformats.org/drawingml/2006/main">
            <a:ext uri="{FF2B5EF4-FFF2-40B4-BE49-F238E27FC236}">
              <a16:creationId xmlns:a16="http://schemas.microsoft.com/office/drawing/2014/main" id="{E990DAA1-13F3-4206-8751-85C471352F10}"/>
            </a:ext>
          </a:extLst>
        </cdr:cNvPr>
        <cdr:cNvSpPr txBox="1"/>
      </cdr:nvSpPr>
      <cdr:spPr>
        <a:xfrm xmlns:a="http://schemas.openxmlformats.org/drawingml/2006/main">
          <a:off x="7830533" y="919532"/>
          <a:ext cx="493633" cy="294528"/>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0.87726</cdr:x>
      <cdr:y>0.26005</cdr:y>
    </cdr:from>
    <cdr:to>
      <cdr:x>0.95552</cdr:x>
      <cdr:y>0.32448</cdr:y>
    </cdr:to>
    <cdr:sp macro="" textlink="">
      <cdr:nvSpPr>
        <cdr:cNvPr id="6"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33658" y="1188929"/>
          <a:ext cx="698838" cy="29457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0.87756</cdr:x>
      <cdr:y>0.42221</cdr:y>
    </cdr:from>
    <cdr:to>
      <cdr:x>0.92967</cdr:x>
      <cdr:y>0.48663</cdr:y>
    </cdr:to>
    <cdr:sp macro="" textlink="">
      <cdr:nvSpPr>
        <cdr:cNvPr id="7"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66039" y="2041509"/>
          <a:ext cx="461088"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0.87911</cdr:x>
      <cdr:y>0.57923</cdr:y>
    </cdr:from>
    <cdr:to>
      <cdr:x>0.94099</cdr:x>
      <cdr:y>0.64365</cdr:y>
    </cdr:to>
    <cdr:sp macro="" textlink="">
      <cdr:nvSpPr>
        <cdr:cNvPr id="9"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50179" y="2648254"/>
          <a:ext cx="552569" cy="294528"/>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KIPO</a:t>
          </a:r>
        </a:p>
      </cdr:txBody>
    </cdr:sp>
  </cdr:relSizeAnchor>
  <cdr:relSizeAnchor xmlns:cdr="http://schemas.openxmlformats.org/drawingml/2006/chartDrawing">
    <cdr:from>
      <cdr:x>0.87834</cdr:x>
      <cdr:y>0.31082</cdr:y>
    </cdr:from>
    <cdr:to>
      <cdr:x>0.9518</cdr:x>
      <cdr:y>0.37524</cdr:y>
    </cdr:to>
    <cdr:sp macro="" textlink="">
      <cdr:nvSpPr>
        <cdr:cNvPr id="11"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43302" y="1421088"/>
          <a:ext cx="655975" cy="294528"/>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userShapes>
</file>

<file path=xl/drawings/drawing86.xml><?xml version="1.0" encoding="utf-8"?>
<c:userShapes xmlns:c="http://schemas.openxmlformats.org/drawingml/2006/chart">
  <cdr:relSizeAnchor xmlns:cdr="http://schemas.openxmlformats.org/drawingml/2006/chartDrawing">
    <cdr:from>
      <cdr:x>0.90366</cdr:x>
      <cdr:y>0.9107</cdr:y>
    </cdr:from>
    <cdr:to>
      <cdr:x>0.99211</cdr:x>
      <cdr:y>0.97395</cdr:y>
    </cdr:to>
    <cdr:pic>
      <cdr:nvPicPr>
        <cdr:cNvPr id="3" name="图片 2">
          <a:extLst xmlns:a="http://schemas.openxmlformats.org/drawingml/2006/main">
            <a:ext uri="{FF2B5EF4-FFF2-40B4-BE49-F238E27FC236}">
              <a16:creationId xmlns:a16="http://schemas.microsoft.com/office/drawing/2014/main" id="{304F7E3E-997B-42B7-9941-CEE8052968E6}"/>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271" y="4540624"/>
          <a:ext cx="776442" cy="3153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0.87876</cdr:x>
      <cdr:y>0.0791</cdr:y>
    </cdr:from>
    <cdr:to>
      <cdr:x>0.93404</cdr:x>
      <cdr:y>0.14352</cdr:y>
    </cdr:to>
    <cdr:sp macro="" textlink="">
      <cdr:nvSpPr>
        <cdr:cNvPr id="5" name="TextBox 4">
          <a:extLst xmlns:a="http://schemas.openxmlformats.org/drawingml/2006/main">
            <a:ext uri="{FF2B5EF4-FFF2-40B4-BE49-F238E27FC236}">
              <a16:creationId xmlns:a16="http://schemas.microsoft.com/office/drawing/2014/main" id="{E990DAA1-13F3-4206-8751-85C471352F10}"/>
            </a:ext>
          </a:extLst>
        </cdr:cNvPr>
        <cdr:cNvSpPr txBox="1"/>
      </cdr:nvSpPr>
      <cdr:spPr>
        <a:xfrm xmlns:a="http://schemas.openxmlformats.org/drawingml/2006/main">
          <a:off x="7847052" y="349414"/>
          <a:ext cx="493633" cy="284557"/>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0.87803</cdr:x>
      <cdr:y>0.6136</cdr:y>
    </cdr:from>
    <cdr:to>
      <cdr:x>0.95629</cdr:x>
      <cdr:y>0.67803</cdr:y>
    </cdr:to>
    <cdr:sp macro="" textlink="">
      <cdr:nvSpPr>
        <cdr:cNvPr id="6"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40533" y="2710418"/>
          <a:ext cx="698837" cy="284601"/>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0.87858</cdr:x>
      <cdr:y>0.50774</cdr:y>
    </cdr:from>
    <cdr:to>
      <cdr:x>0.93069</cdr:x>
      <cdr:y>0.57216</cdr:y>
    </cdr:to>
    <cdr:sp macro="" textlink="">
      <cdr:nvSpPr>
        <cdr:cNvPr id="7"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45474" y="2242809"/>
          <a:ext cx="465326" cy="28455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0.87778</cdr:x>
      <cdr:y>0.57255</cdr:y>
    </cdr:from>
    <cdr:to>
      <cdr:x>0.93966</cdr:x>
      <cdr:y>0.63697</cdr:y>
    </cdr:to>
    <cdr:sp macro="" textlink="">
      <cdr:nvSpPr>
        <cdr:cNvPr id="9"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838272" y="2529061"/>
          <a:ext cx="552569" cy="28455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KIPO</a:t>
          </a:r>
        </a:p>
      </cdr:txBody>
    </cdr:sp>
  </cdr:relSizeAnchor>
  <cdr:relSizeAnchor xmlns:cdr="http://schemas.openxmlformats.org/drawingml/2006/chartDrawing">
    <cdr:from>
      <cdr:x>0.87326</cdr:x>
      <cdr:y>0.75905</cdr:y>
    </cdr:from>
    <cdr:to>
      <cdr:x>0.94672</cdr:x>
      <cdr:y>0.82347</cdr:y>
    </cdr:to>
    <cdr:sp macro="" textlink="">
      <cdr:nvSpPr>
        <cdr:cNvPr id="11"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27977" y="3670278"/>
          <a:ext cx="650087"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userShapes>
</file>

<file path=xl/drawings/drawing87.xml><?xml version="1.0" encoding="utf-8"?>
<c:userShapes xmlns:c="http://schemas.openxmlformats.org/drawingml/2006/chart">
  <cdr:relSizeAnchor xmlns:cdr="http://schemas.openxmlformats.org/drawingml/2006/chartDrawing">
    <cdr:from>
      <cdr:x>0.90366</cdr:x>
      <cdr:y>0.9107</cdr:y>
    </cdr:from>
    <cdr:to>
      <cdr:x>0.99211</cdr:x>
      <cdr:y>0.97395</cdr:y>
    </cdr:to>
    <cdr:pic>
      <cdr:nvPicPr>
        <cdr:cNvPr id="3" name="图片 2">
          <a:extLst xmlns:a="http://schemas.openxmlformats.org/drawingml/2006/main">
            <a:ext uri="{FF2B5EF4-FFF2-40B4-BE49-F238E27FC236}">
              <a16:creationId xmlns:a16="http://schemas.microsoft.com/office/drawing/2014/main" id="{304F7E3E-997B-42B7-9941-CEE8052968E6}"/>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271" y="4540624"/>
          <a:ext cx="776442" cy="3153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0.88814</cdr:x>
      <cdr:y>0.14183</cdr:y>
    </cdr:from>
    <cdr:to>
      <cdr:x>0.94342</cdr:x>
      <cdr:y>0.20625</cdr:y>
    </cdr:to>
    <cdr:sp macro="" textlink="">
      <cdr:nvSpPr>
        <cdr:cNvPr id="5" name="TextBox 4">
          <a:extLst xmlns:a="http://schemas.openxmlformats.org/drawingml/2006/main">
            <a:ext uri="{FF2B5EF4-FFF2-40B4-BE49-F238E27FC236}">
              <a16:creationId xmlns:a16="http://schemas.microsoft.com/office/drawing/2014/main" id="{E990DAA1-13F3-4206-8751-85C471352F10}"/>
            </a:ext>
          </a:extLst>
        </cdr:cNvPr>
        <cdr:cNvSpPr txBox="1"/>
      </cdr:nvSpPr>
      <cdr:spPr>
        <a:xfrm xmlns:a="http://schemas.openxmlformats.org/drawingml/2006/main">
          <a:off x="7930813" y="720921"/>
          <a:ext cx="493633" cy="32744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0.88874</cdr:x>
      <cdr:y>0.56581</cdr:y>
    </cdr:from>
    <cdr:to>
      <cdr:x>0.967</cdr:x>
      <cdr:y>0.63024</cdr:y>
    </cdr:to>
    <cdr:sp macro="" textlink="">
      <cdr:nvSpPr>
        <cdr:cNvPr id="6"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936200" y="2875986"/>
          <a:ext cx="698838" cy="327498"/>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0.8893</cdr:x>
      <cdr:y>0.52326</cdr:y>
    </cdr:from>
    <cdr:to>
      <cdr:x>0.94141</cdr:x>
      <cdr:y>0.58768</cdr:y>
    </cdr:to>
    <cdr:sp macro="" textlink="">
      <cdr:nvSpPr>
        <cdr:cNvPr id="7"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941141" y="2659719"/>
          <a:ext cx="465326"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0.89009</cdr:x>
      <cdr:y>0.60147</cdr:y>
    </cdr:from>
    <cdr:to>
      <cdr:x>0.95197</cdr:x>
      <cdr:y>0.66589</cdr:y>
    </cdr:to>
    <cdr:sp macro="" textlink="">
      <cdr:nvSpPr>
        <cdr:cNvPr id="9"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948196" y="3057267"/>
          <a:ext cx="552569"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KIPO</a:t>
          </a:r>
        </a:p>
      </cdr:txBody>
    </cdr:sp>
  </cdr:relSizeAnchor>
  <cdr:relSizeAnchor xmlns:cdr="http://schemas.openxmlformats.org/drawingml/2006/chartDrawing">
    <cdr:from>
      <cdr:x>0.88849</cdr:x>
      <cdr:y>0.73259</cdr:y>
    </cdr:from>
    <cdr:to>
      <cdr:x>0.96195</cdr:x>
      <cdr:y>0.79701</cdr:y>
    </cdr:to>
    <cdr:sp macro="" textlink="">
      <cdr:nvSpPr>
        <cdr:cNvPr id="11"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933937" y="3723734"/>
          <a:ext cx="655975"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userShapes>
</file>

<file path=xl/drawings/drawing88.xml><?xml version="1.0" encoding="utf-8"?>
<c:userShapes xmlns:c="http://schemas.openxmlformats.org/drawingml/2006/chart">
  <cdr:relSizeAnchor xmlns:cdr="http://schemas.openxmlformats.org/drawingml/2006/chartDrawing">
    <cdr:from>
      <cdr:x>0.90366</cdr:x>
      <cdr:y>0.9107</cdr:y>
    </cdr:from>
    <cdr:to>
      <cdr:x>0.99211</cdr:x>
      <cdr:y>0.97395</cdr:y>
    </cdr:to>
    <cdr:pic>
      <cdr:nvPicPr>
        <cdr:cNvPr id="3" name="图片 2">
          <a:extLst xmlns:a="http://schemas.openxmlformats.org/drawingml/2006/main">
            <a:ext uri="{FF2B5EF4-FFF2-40B4-BE49-F238E27FC236}">
              <a16:creationId xmlns:a16="http://schemas.microsoft.com/office/drawing/2014/main" id="{304F7E3E-997B-42B7-9941-CEE8052968E6}"/>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7932271" y="4540624"/>
          <a:ext cx="776442" cy="3153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0.88044</cdr:x>
      <cdr:y>0.2679</cdr:y>
    </cdr:from>
    <cdr:to>
      <cdr:x>0.98781</cdr:x>
      <cdr:y>0.33232</cdr:y>
    </cdr:to>
    <cdr:sp macro="" textlink="">
      <cdr:nvSpPr>
        <cdr:cNvPr id="5" name="TextBox 4">
          <a:extLst xmlns:a="http://schemas.openxmlformats.org/drawingml/2006/main">
            <a:ext uri="{FF2B5EF4-FFF2-40B4-BE49-F238E27FC236}">
              <a16:creationId xmlns:a16="http://schemas.microsoft.com/office/drawing/2014/main" id="{E990DAA1-13F3-4206-8751-85C471352F10}"/>
            </a:ext>
          </a:extLst>
        </cdr:cNvPr>
        <cdr:cNvSpPr txBox="1"/>
      </cdr:nvSpPr>
      <cdr:spPr>
        <a:xfrm xmlns:a="http://schemas.openxmlformats.org/drawingml/2006/main">
          <a:off x="7791494" y="1295395"/>
          <a:ext cx="950174" cy="311493"/>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EPC states</a:t>
          </a:r>
        </a:p>
      </cdr:txBody>
    </cdr:sp>
  </cdr:relSizeAnchor>
  <cdr:relSizeAnchor xmlns:cdr="http://schemas.openxmlformats.org/drawingml/2006/chartDrawing">
    <cdr:from>
      <cdr:x>0.87864</cdr:x>
      <cdr:y>0.20553</cdr:y>
    </cdr:from>
    <cdr:to>
      <cdr:x>0.93318</cdr:x>
      <cdr:y>0.26995</cdr:y>
    </cdr:to>
    <cdr:sp macro="" textlink="">
      <cdr:nvSpPr>
        <cdr:cNvPr id="6"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75597" y="993799"/>
          <a:ext cx="482654"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a:t>
          </a:r>
        </a:p>
      </cdr:txBody>
    </cdr:sp>
  </cdr:relSizeAnchor>
  <cdr:relSizeAnchor xmlns:cdr="http://schemas.openxmlformats.org/drawingml/2006/chartDrawing">
    <cdr:from>
      <cdr:x>0.87864</cdr:x>
      <cdr:y>0.3769</cdr:y>
    </cdr:from>
    <cdr:to>
      <cdr:x>0.94803</cdr:x>
      <cdr:y>0.44132</cdr:y>
    </cdr:to>
    <cdr:sp macro="" textlink="">
      <cdr:nvSpPr>
        <cdr:cNvPr id="7"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75564" y="1822434"/>
          <a:ext cx="614070"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Japan</a:t>
          </a:r>
        </a:p>
      </cdr:txBody>
    </cdr:sp>
  </cdr:relSizeAnchor>
  <cdr:relSizeAnchor xmlns:cdr="http://schemas.openxmlformats.org/drawingml/2006/chartDrawing">
    <cdr:from>
      <cdr:x>0.87864</cdr:x>
      <cdr:y>0.30007</cdr:y>
    </cdr:from>
    <cdr:to>
      <cdr:x>0.92178</cdr:x>
      <cdr:y>0.36449</cdr:y>
    </cdr:to>
    <cdr:sp macro="" textlink="">
      <cdr:nvSpPr>
        <cdr:cNvPr id="8"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75555" y="1450964"/>
          <a:ext cx="381769"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tx1"/>
              </a:solidFill>
            </a:rPr>
            <a:t>All</a:t>
          </a:r>
        </a:p>
      </cdr:txBody>
    </cdr:sp>
  </cdr:relSizeAnchor>
  <cdr:relSizeAnchor xmlns:cdr="http://schemas.openxmlformats.org/drawingml/2006/chartDrawing">
    <cdr:from>
      <cdr:x>0.87757</cdr:x>
      <cdr:y>0.40645</cdr:y>
    </cdr:from>
    <cdr:to>
      <cdr:x>0.9693</cdr:x>
      <cdr:y>0.47087</cdr:y>
    </cdr:to>
    <cdr:sp macro="" textlink="">
      <cdr:nvSpPr>
        <cdr:cNvPr id="9"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66054" y="1965326"/>
          <a:ext cx="81176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R. Korea</a:t>
          </a:r>
        </a:p>
      </cdr:txBody>
    </cdr:sp>
  </cdr:relSizeAnchor>
  <cdr:relSizeAnchor xmlns:cdr="http://schemas.openxmlformats.org/drawingml/2006/chartDrawing">
    <cdr:from>
      <cdr:x>0.87756</cdr:x>
      <cdr:y>0.17598</cdr:y>
    </cdr:from>
    <cdr:to>
      <cdr:x>0.9556</cdr:x>
      <cdr:y>0.2404</cdr:y>
    </cdr:to>
    <cdr:sp macro="" textlink="">
      <cdr:nvSpPr>
        <cdr:cNvPr id="10"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66021" y="850911"/>
          <a:ext cx="69061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accent2"/>
              </a:solidFill>
            </a:rPr>
            <a:t>Others</a:t>
          </a:r>
        </a:p>
      </cdr:txBody>
    </cdr:sp>
  </cdr:relSizeAnchor>
  <cdr:relSizeAnchor xmlns:cdr="http://schemas.openxmlformats.org/drawingml/2006/chartDrawing">
    <cdr:from>
      <cdr:x>0.87757</cdr:x>
      <cdr:y>0.34341</cdr:y>
    </cdr:from>
    <cdr:to>
      <cdr:x>0.98359</cdr:x>
      <cdr:y>0.40783</cdr:y>
    </cdr:to>
    <cdr:sp macro="" textlink="">
      <cdr:nvSpPr>
        <cdr:cNvPr id="11" name="TextBox 1">
          <a:extLst xmlns:a="http://schemas.openxmlformats.org/drawingml/2006/main">
            <a:ext uri="{FF2B5EF4-FFF2-40B4-BE49-F238E27FC236}">
              <a16:creationId xmlns:a16="http://schemas.microsoft.com/office/drawing/2014/main" id="{78DBB753-CA07-47FC-B8C4-BA97FDED764F}"/>
            </a:ext>
          </a:extLst>
        </cdr:cNvPr>
        <cdr:cNvSpPr txBox="1"/>
      </cdr:nvSpPr>
      <cdr:spPr>
        <a:xfrm xmlns:a="http://schemas.openxmlformats.org/drawingml/2006/main">
          <a:off x="7766077" y="1660517"/>
          <a:ext cx="93822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P.R. China</a:t>
          </a:r>
        </a:p>
      </cdr:txBody>
    </cdr:sp>
  </cdr:relSizeAnchor>
</c:userShapes>
</file>

<file path=xl/drawings/drawing89.xml><?xml version="1.0" encoding="utf-8"?>
<xdr:wsDr xmlns:xdr="http://schemas.openxmlformats.org/drawingml/2006/spreadsheetDrawing" xmlns:a="http://schemas.openxmlformats.org/drawingml/2006/main">
  <xdr:twoCellAnchor>
    <xdr:from>
      <xdr:col>30</xdr:col>
      <xdr:colOff>0</xdr:colOff>
      <xdr:row>69</xdr:row>
      <xdr:rowOff>0</xdr:rowOff>
    </xdr:from>
    <xdr:to>
      <xdr:col>52</xdr:col>
      <xdr:colOff>259976</xdr:colOff>
      <xdr:row>99</xdr:row>
      <xdr:rowOff>561</xdr:rowOff>
    </xdr:to>
    <xdr:graphicFrame macro="">
      <xdr:nvGraphicFramePr>
        <xdr:cNvPr id="10" name="Chart 9">
          <a:extLst>
            <a:ext uri="{FF2B5EF4-FFF2-40B4-BE49-F238E27FC236}">
              <a16:creationId xmlns:a16="http://schemas.microsoft.com/office/drawing/2014/main" id="{79C337D6-12C0-4423-B424-8882CE0A3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7</xdr:row>
      <xdr:rowOff>0</xdr:rowOff>
    </xdr:from>
    <xdr:to>
      <xdr:col>52</xdr:col>
      <xdr:colOff>259976</xdr:colOff>
      <xdr:row>36</xdr:row>
      <xdr:rowOff>162486</xdr:rowOff>
    </xdr:to>
    <xdr:graphicFrame macro="">
      <xdr:nvGraphicFramePr>
        <xdr:cNvPr id="13" name="Chart 12">
          <a:extLst>
            <a:ext uri="{FF2B5EF4-FFF2-40B4-BE49-F238E27FC236}">
              <a16:creationId xmlns:a16="http://schemas.microsoft.com/office/drawing/2014/main" id="{1F95CD49-7689-4A53-A490-997C302C4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38</xdr:row>
      <xdr:rowOff>0</xdr:rowOff>
    </xdr:from>
    <xdr:to>
      <xdr:col>52</xdr:col>
      <xdr:colOff>259976</xdr:colOff>
      <xdr:row>67</xdr:row>
      <xdr:rowOff>143436</xdr:rowOff>
    </xdr:to>
    <xdr:graphicFrame macro="">
      <xdr:nvGraphicFramePr>
        <xdr:cNvPr id="14" name="Chart 13">
          <a:extLst>
            <a:ext uri="{FF2B5EF4-FFF2-40B4-BE49-F238E27FC236}">
              <a16:creationId xmlns:a16="http://schemas.microsoft.com/office/drawing/2014/main" id="{47716A8F-20C3-4BAB-9E6D-7EC6E3AA0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32B7671-BA71-47D7-B342-2C586D2FFA5C}"/>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90.xml><?xml version="1.0" encoding="utf-8"?>
<c:userShapes xmlns:c="http://schemas.openxmlformats.org/drawingml/2006/chart">
  <cdr:relSizeAnchor xmlns:cdr="http://schemas.openxmlformats.org/drawingml/2006/chartDrawing">
    <cdr:from>
      <cdr:x>0.9164</cdr:x>
      <cdr:y>0.92209</cdr:y>
    </cdr:from>
    <cdr:to>
      <cdr:x>0.99376</cdr:x>
      <cdr:y>0.98128</cdr:y>
    </cdr:to>
    <cdr:pic>
      <cdr:nvPicPr>
        <cdr:cNvPr id="2" name="图片 1">
          <a:extLst xmlns:a="http://schemas.openxmlformats.org/drawingml/2006/main">
            <a:ext uri="{FF2B5EF4-FFF2-40B4-BE49-F238E27FC236}">
              <a16:creationId xmlns:a16="http://schemas.microsoft.com/office/drawing/2014/main" id="{B6035D52-E610-4D34-BB0E-27850A6B5421}"/>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9941859" y="4951506"/>
          <a:ext cx="839184" cy="31783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91.xml><?xml version="1.0" encoding="utf-8"?>
<c:userShapes xmlns:c="http://schemas.openxmlformats.org/drawingml/2006/chart">
  <cdr:relSizeAnchor xmlns:cdr="http://schemas.openxmlformats.org/drawingml/2006/chartDrawing">
    <cdr:from>
      <cdr:x>0.9164</cdr:x>
      <cdr:y>0.92209</cdr:y>
    </cdr:from>
    <cdr:to>
      <cdr:x>0.99376</cdr:x>
      <cdr:y>0.98128</cdr:y>
    </cdr:to>
    <cdr:pic>
      <cdr:nvPicPr>
        <cdr:cNvPr id="2" name="图片 1">
          <a:extLst xmlns:a="http://schemas.openxmlformats.org/drawingml/2006/main">
            <a:ext uri="{FF2B5EF4-FFF2-40B4-BE49-F238E27FC236}">
              <a16:creationId xmlns:a16="http://schemas.microsoft.com/office/drawing/2014/main" id="{B6035D52-E610-4D34-BB0E-27850A6B5421}"/>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9941859" y="4951506"/>
          <a:ext cx="839184" cy="31783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92.xml><?xml version="1.0" encoding="utf-8"?>
<c:userShapes xmlns:c="http://schemas.openxmlformats.org/drawingml/2006/chart">
  <cdr:relSizeAnchor xmlns:cdr="http://schemas.openxmlformats.org/drawingml/2006/chartDrawing">
    <cdr:from>
      <cdr:x>0.9164</cdr:x>
      <cdr:y>0.92209</cdr:y>
    </cdr:from>
    <cdr:to>
      <cdr:x>0.99376</cdr:x>
      <cdr:y>0.98128</cdr:y>
    </cdr:to>
    <cdr:pic>
      <cdr:nvPicPr>
        <cdr:cNvPr id="2" name="图片 1">
          <a:extLst xmlns:a="http://schemas.openxmlformats.org/drawingml/2006/main">
            <a:ext uri="{FF2B5EF4-FFF2-40B4-BE49-F238E27FC236}">
              <a16:creationId xmlns:a16="http://schemas.microsoft.com/office/drawing/2014/main" id="{B6035D52-E610-4D34-BB0E-27850A6B5421}"/>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9941859" y="4951506"/>
          <a:ext cx="839184" cy="31783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G0\03\2022\4_Statistics\IP5\IP5SR\Draft%201\Statistical%20tables%202021%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2. Patents-in-Force"/>
      <sheetName val="Ch2. Budget"/>
      <sheetName val="Ch2. Staff"/>
      <sheetName val="Ch2. Production figures"/>
      <sheetName val="Ch3. Patent filings"/>
      <sheetName val="Ch3. First filings"/>
      <sheetName val="Ch3. Patent Applications"/>
      <sheetName val="Ch3. Demand for patent rights"/>
      <sheetName val="Ch3. Granted patents"/>
      <sheetName val="Ch3. Patent Families"/>
      <sheetName val="Ch3. IP5 Patent Families"/>
      <sheetName val="Ch4. Patent applications filed"/>
      <sheetName val="Ch4. Technology sectors&amp;fie "/>
      <sheetName val="Ch4. Leading Technologies "/>
      <sheetName val="Ch4. Granted Patents"/>
      <sheetName val="Ch4. Maintenance"/>
      <sheetName val="Ch4. Procedures "/>
      <sheetName val="Ch5. PCT as filing route "/>
      <sheetName val="Ch.5 PCT authorities "/>
      <sheetName val="Ch.6 Other Work"/>
    </sheetNames>
    <sheetDataSet>
      <sheetData sheetId="0" refreshError="1"/>
      <sheetData sheetId="1">
        <row r="48">
          <cell r="C48">
            <v>0.35</v>
          </cell>
        </row>
        <row r="49">
          <cell r="C49">
            <v>0.19</v>
          </cell>
        </row>
        <row r="50">
          <cell r="C50">
            <v>0.09</v>
          </cell>
        </row>
        <row r="52">
          <cell r="C52">
            <v>0.28000000000000003</v>
          </cell>
        </row>
        <row r="53">
          <cell r="C53">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ow r="41">
          <cell r="AC41">
            <v>2009</v>
          </cell>
        </row>
      </sheetData>
      <sheetData sheetId="16" refreshError="1"/>
      <sheetData sheetId="17" refreshError="1"/>
      <sheetData sheetId="18" refreshError="1"/>
      <sheetData sheetId="19">
        <row r="67">
          <cell r="O67">
            <v>2009</v>
          </cell>
        </row>
      </sheetData>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B6AA-6623-4E73-A1BA-B85EF392380F}">
  <sheetPr>
    <tabColor rgb="FF0000CC"/>
  </sheetPr>
  <dimension ref="B1:D52"/>
  <sheetViews>
    <sheetView tabSelected="1" workbookViewId="0"/>
  </sheetViews>
  <sheetFormatPr defaultColWidth="8.85546875" defaultRowHeight="18"/>
  <cols>
    <col min="1" max="1" width="4.85546875" style="2" customWidth="1"/>
    <col min="2" max="2" width="86" style="2" customWidth="1"/>
    <col min="3" max="16384" width="8.85546875" style="2"/>
  </cols>
  <sheetData>
    <row r="1" spans="2:4" ht="18.75" thickBot="1"/>
    <row r="2" spans="2:4" ht="25.9" customHeight="1" thickBot="1">
      <c r="B2" s="1" t="s">
        <v>497</v>
      </c>
    </row>
    <row r="3" spans="2:4" ht="22.9" customHeight="1">
      <c r="B3" s="3" t="s">
        <v>0</v>
      </c>
      <c r="D3" s="898" t="s">
        <v>462</v>
      </c>
    </row>
    <row r="4" spans="2:4">
      <c r="B4" s="4"/>
      <c r="D4" s="897" t="s">
        <v>461</v>
      </c>
    </row>
    <row r="5" spans="2:4">
      <c r="B5" s="868" t="s">
        <v>1</v>
      </c>
    </row>
    <row r="6" spans="2:4">
      <c r="B6" s="868" t="s">
        <v>465</v>
      </c>
      <c r="D6" s="1270"/>
    </row>
    <row r="7" spans="2:4">
      <c r="B7" s="868" t="s">
        <v>450</v>
      </c>
    </row>
    <row r="8" spans="2:4">
      <c r="B8" s="868" t="s">
        <v>477</v>
      </c>
    </row>
    <row r="9" spans="2:4">
      <c r="B9" s="4"/>
    </row>
    <row r="10" spans="2:4">
      <c r="B10" s="949" t="s">
        <v>2</v>
      </c>
    </row>
    <row r="11" spans="2:4">
      <c r="B11" s="868" t="s">
        <v>3</v>
      </c>
    </row>
    <row r="12" spans="2:4">
      <c r="B12" s="868" t="s">
        <v>4</v>
      </c>
    </row>
    <row r="13" spans="2:4">
      <c r="B13" s="5" t="s">
        <v>5</v>
      </c>
    </row>
    <row r="14" spans="2:4">
      <c r="B14" s="5" t="s">
        <v>6</v>
      </c>
    </row>
    <row r="15" spans="2:4">
      <c r="B15" s="868" t="s">
        <v>7</v>
      </c>
    </row>
    <row r="16" spans="2:4">
      <c r="B16" s="868" t="s">
        <v>8</v>
      </c>
    </row>
    <row r="17" spans="2:2">
      <c r="B17" s="5" t="s">
        <v>9</v>
      </c>
    </row>
    <row r="18" spans="2:2">
      <c r="B18" s="868" t="s">
        <v>10</v>
      </c>
    </row>
    <row r="19" spans="2:2">
      <c r="B19" s="868" t="s">
        <v>11</v>
      </c>
    </row>
    <row r="20" spans="2:2">
      <c r="B20" s="5" t="s">
        <v>444</v>
      </c>
    </row>
    <row r="21" spans="2:2">
      <c r="B21" s="5" t="s">
        <v>445</v>
      </c>
    </row>
    <row r="22" spans="2:2">
      <c r="B22" s="5" t="s">
        <v>446</v>
      </c>
    </row>
    <row r="23" spans="2:2">
      <c r="B23" s="5" t="s">
        <v>12</v>
      </c>
    </row>
    <row r="24" spans="2:2">
      <c r="B24" s="5" t="s">
        <v>447</v>
      </c>
    </row>
    <row r="25" spans="2:2">
      <c r="B25" s="4"/>
    </row>
    <row r="26" spans="2:2">
      <c r="B26" s="5" t="s">
        <v>13</v>
      </c>
    </row>
    <row r="27" spans="2:2">
      <c r="B27" s="868" t="s">
        <v>14</v>
      </c>
    </row>
    <row r="28" spans="2:2">
      <c r="B28" s="868" t="s">
        <v>15</v>
      </c>
    </row>
    <row r="29" spans="2:2">
      <c r="B29" s="868" t="s">
        <v>459</v>
      </c>
    </row>
    <row r="30" spans="2:2">
      <c r="B30" s="5" t="s">
        <v>16</v>
      </c>
    </row>
    <row r="31" spans="2:2">
      <c r="B31" s="868" t="s">
        <v>17</v>
      </c>
    </row>
    <row r="32" spans="2:2">
      <c r="B32" s="868" t="s">
        <v>453</v>
      </c>
    </row>
    <row r="33" spans="2:2">
      <c r="B33" s="868" t="s">
        <v>452</v>
      </c>
    </row>
    <row r="34" spans="2:2">
      <c r="B34" s="868" t="s">
        <v>449</v>
      </c>
    </row>
    <row r="35" spans="2:2">
      <c r="B35" s="5" t="s">
        <v>448</v>
      </c>
    </row>
    <row r="36" spans="2:2">
      <c r="B36" s="4"/>
    </row>
    <row r="37" spans="2:2">
      <c r="B37" s="868" t="s">
        <v>18</v>
      </c>
    </row>
    <row r="38" spans="2:2">
      <c r="B38" s="868" t="s">
        <v>19</v>
      </c>
    </row>
    <row r="39" spans="2:2">
      <c r="B39" s="868" t="s">
        <v>20</v>
      </c>
    </row>
    <row r="40" spans="2:2">
      <c r="B40" s="868" t="s">
        <v>21</v>
      </c>
    </row>
    <row r="41" spans="2:2">
      <c r="B41" s="868" t="s">
        <v>22</v>
      </c>
    </row>
    <row r="42" spans="2:2">
      <c r="B42" s="868" t="s">
        <v>23</v>
      </c>
    </row>
    <row r="43" spans="2:2">
      <c r="B43" s="868" t="s">
        <v>24</v>
      </c>
    </row>
    <row r="44" spans="2:2">
      <c r="B44" s="868" t="s">
        <v>25</v>
      </c>
    </row>
    <row r="45" spans="2:2">
      <c r="B45" s="4"/>
    </row>
    <row r="46" spans="2:2" ht="25.15" customHeight="1">
      <c r="B46" s="6" t="s">
        <v>26</v>
      </c>
    </row>
    <row r="47" spans="2:2">
      <c r="B47" s="5" t="s">
        <v>27</v>
      </c>
    </row>
    <row r="48" spans="2:2">
      <c r="B48" s="5" t="s">
        <v>28</v>
      </c>
    </row>
    <row r="49" spans="2:2">
      <c r="B49" s="5" t="s">
        <v>29</v>
      </c>
    </row>
    <row r="50" spans="2:2">
      <c r="B50" s="868" t="s">
        <v>30</v>
      </c>
    </row>
    <row r="51" spans="2:2">
      <c r="B51" s="5" t="s">
        <v>31</v>
      </c>
    </row>
    <row r="52" spans="2:2" ht="18.75" thickBot="1">
      <c r="B52" s="7"/>
    </row>
  </sheetData>
  <hyperlinks>
    <hyperlink ref="B5" location="'Ch2. Patents-in-Force'!A4" display="Fig. 2.1   Patents in Force " xr:uid="{324689AD-355E-4B56-846E-1506DF500760}"/>
    <hyperlink ref="B47" location="'Ch2. Budget'!A1" display="Budget" xr:uid="{8F22201A-6927-4BF2-8435-14F6C68E9DB5}"/>
    <hyperlink ref="B48" location="'Ch2. Staff'!A1" display="Staff" xr:uid="{4F2CDF66-0D3A-47DC-ADBB-46AAF25012B2}"/>
    <hyperlink ref="B49" location="'Ch2. Production figures'!A1" display="Production figures" xr:uid="{57D8B630-3601-4182-A5F0-994BB7E0642D}"/>
    <hyperlink ref="B10" location="'Ch3. Patent filings'!B64" display="Fig. 3.1   Worldwide patent filings - filing procedures " xr:uid="{F47F2DC8-5F95-4A70-A315-10255FD7A01C}"/>
    <hyperlink ref="B11" location="'Ch3. Patent filings'!A65" display="Fig. 3.2   Worldwide patent filings - origin" xr:uid="{54F5898D-FB7C-4FEF-AF16-8CD772B5CE69}"/>
    <hyperlink ref="B12" location="'Ch3. Patent filings'!A67" display="Fig. 3.3   Worldwide patent filings - percentage filed at home" xr:uid="{2271FAA0-53CD-4C80-BEE5-A9F7586DE2A6}"/>
    <hyperlink ref="B13" location="'Ch3. First filings'!A37" display="Fig. 3.4   Worldwide patent first filings - origin" xr:uid="{5BEB3557-012C-4F8C-AB96-2C0EA4A4C908}"/>
    <hyperlink ref="B14" location="'Ch3. Patent Applications'!B155" display="Fig. 3.5   Worldwide patent applications - filing procedures" xr:uid="{A4D7DAB0-BB67-415C-9A65-EA222EF7674B}"/>
    <hyperlink ref="B15" location="'Ch3. Patent applications'!B115" display="Fig. 3.6   Worldwide patent applications - origin" xr:uid="{68C66475-DC0F-438E-8A6B-919CFDBD92AA}"/>
    <hyperlink ref="B17" location="'Ch3. Demand for patent rights'!B147" display="Fig. 3.8   Worldwide demand for patent rights - procedures" xr:uid="{71F5B3FB-BB42-4229-873A-2A3378BEE3F5}"/>
    <hyperlink ref="B18" location="'Ch3. Demand for patent rights'!B115" display="Fig. 3.9   Worldwide demand for patent rights - origin" xr:uid="{CD56BB29-C031-4CB9-95F1-B1535392DFDF}"/>
    <hyperlink ref="B19" location="'Ch3. Demand for patent rights'!B115" display="Fig. 3.10 Worldwide demand for patent rights - filing bloc  " xr:uid="{E9EC810C-D278-4132-9BDF-B724A09B282D}"/>
    <hyperlink ref="B20" location="'Ch3. Granted patents'!B61" display="Fig. 3.11 Worldwide patents granted - filing bloc" xr:uid="{8A621BB1-A455-4E72-8DB5-A69EABECA50C}"/>
    <hyperlink ref="B22" location="'Ch3. Granted patents'!B110" display="Fig. 3.12 National patent rights granted - filing bloc" xr:uid="{94CBA87F-2E65-4B0C-A5B0-3C20EED878D0}"/>
    <hyperlink ref="B24" location="'Ch3. IP5 Patent Families'!A33" display="Fig. 3.16 IP5 patent families - origin" xr:uid="{B37A7417-41EF-445F-B24E-00EBC7F111CA}"/>
    <hyperlink ref="B26" location="'Ch4. Patent applications filed'!A75" display="Fig. 4.1   Applications filed - domestics and foreign origin" xr:uid="{E5AE2481-FF1E-4706-8D94-B9B65552DC7D}"/>
    <hyperlink ref="B27" location="'Ch4. Patent applications filed'!B80" display="Fig. 4.2   Applications filed - origin distribution" xr:uid="{709B2FBC-AAD8-4D23-BA17-560F7CBD414F}"/>
    <hyperlink ref="B28" location="'Ch4. Applications technology'!A1" display="Fig. 4.3   Applications filed - sector of technology" xr:uid="{064F6B7D-B823-4919-BC8E-90291EF58787}"/>
    <hyperlink ref="B29" location="'Ch4. Applications leading Tech'!A1" display="Fig. 4.4:   Applications filed - leading technologies   (new)" xr:uid="{AF031A6D-8877-4FF5-96C8-694A0ED29528}"/>
    <hyperlink ref="B30" location="'Ch4. Granted Patents'!Z40" display="Fig. 4.5   Patents granted - domestic and foreign origin" xr:uid="{844B839D-5B30-416F-8390-D9E88F760C06}"/>
    <hyperlink ref="B31" location="'Ch4. Granted Patents'!Z53" display="Fig. 4.6   Patents granted - origin distribution" xr:uid="{05724FBD-80D7-4AC1-B2D0-19CBCC08B553}"/>
    <hyperlink ref="B34" location="'Ch4. Granted Patents'!Z120" display="Fig. 4.9   Patents granted - patentees distribution" xr:uid="{07A1DB47-8D61-44D1-B4E9-410AA79ACEF7}"/>
    <hyperlink ref="B35" location="'Ch4. Maintenance'!A6" display="Fig. 4.8   Patents granted - maintenance from filing date" xr:uid="{E7DD56CC-BBB1-4EC3-B793-FC29F59C4FDF}"/>
    <hyperlink ref="B42" location="'Ch5. PCT authorities'!A1" display="Fig. 5.7   PCT activity - receiving offices" xr:uid="{101D3180-E8F2-4152-9933-5CEF445E60D3}"/>
    <hyperlink ref="B50" location="'Ch4. Procedures '!A1" display="Statistics on procedures" xr:uid="{3804D504-B340-4FCA-8AF2-75D62E825374}"/>
    <hyperlink ref="B51" location="'Ch.6 Other Work'!A1" display="Other work" xr:uid="{220F8BB8-F7FE-411D-8D53-F18B6D8C90C5}"/>
    <hyperlink ref="B16" location="'Ch3. Patent applications'!B115" display="Fig. 3.7   Worldwide patent applications - filing bloc" xr:uid="{759C99B6-6C22-4D84-BA65-171A241CF999}"/>
    <hyperlink ref="B23" location="'Ch3. Patent Families'!A386" display="Additional data: Patent families tables" xr:uid="{EC45DD3D-AEEE-4787-8925-E4340A04E277}"/>
    <hyperlink ref="B37" location="'Ch5. PCT as filing route '!A1" display="Fig. 5.1   Proportions of applications filed via the PCT - origin" xr:uid="{F115856F-43D9-4856-96BD-B5C1B2B6FD15}"/>
    <hyperlink ref="B39" location="'Ch5. PCT as filing route '!A70" display="Fig. 5.3   Proportions of PCT applications in the grant procedure" xr:uid="{1B91C87E-3335-40E5-AE5B-96C4FA0561D5}"/>
    <hyperlink ref="B41" location="'Ch3. Patent Families'!A1" display="Fig. 5.6   Proportions of PCT - IP5 patent families per origin" xr:uid="{0CF2A1F8-E928-43FF-BE40-17304193D52A}"/>
    <hyperlink ref="B40" location="'Ch5. PCT as filing route '!A100" display="Fig. 5.4   Proportions of PCT in the patents granted" xr:uid="{CAB66AF8-6956-4786-8B34-66A94AAA81AB}"/>
    <hyperlink ref="B38" location="'Ch5. PCT as filing route '!A1" display="Fig. 5.2   Proportions of PCT applications entering the national/regional phase" xr:uid="{122EB250-05FC-4568-8F09-8CA186403FC3}"/>
    <hyperlink ref="B43" location="'Ch5. PCT authorities'!A1" display="Fig. 5.8   PCT activity - international searching authorities" xr:uid="{4F2E48E2-19AD-4F19-A90B-DDEC117EB7ED}"/>
    <hyperlink ref="B44" location="'Ch5. PCT authorities'!A1" display="Fig. 5.9   PCT activity - international preliminary examination authorities" xr:uid="{566AA823-887D-47A5-A65F-E927F8B23B24}"/>
    <hyperlink ref="B7" location="'Ch2. Cross filings'!A1" display="Fig. 2.3: IP5 Cross filings - origin" xr:uid="{872AF791-C4B3-41EB-818D-D3D08B1DD474}"/>
    <hyperlink ref="B8" location="'Ch2. Cross filings'!A60" display="Fig. 2.4: IP5 Cross filings - type of cross filings   (new)" xr:uid="{12BB071C-CC1A-43BF-94FA-C6B0356A3171}"/>
    <hyperlink ref="B21" location="'Ch3. Granted patents'!B61" display="Fig. 3.11 Worldwide patents granted - filing bloc" xr:uid="{E0B4143A-7660-4356-B55F-0B420D721647}"/>
    <hyperlink ref="B32" location="'Ch4. Grants technology'!A1" display="Fig. 4.7 Granted patents  - sector of technology (new)" xr:uid="{71589E58-03C0-4025-B864-3BFE6FDF9443}"/>
    <hyperlink ref="B33" location="'Ch4. Grants leading Tech'!A1" display="Fig. 4.8:   Granted patents - leading technologies   (new)" xr:uid="{EB4471F5-9B79-4B70-83D5-568CB7386556}"/>
    <hyperlink ref="B6" location="'Ch2. Patents-in-Force'!A90" display="Fig. 2.2   Patents in Force - Jurisdiction &amp; Origin" xr:uid="{F1357D33-C796-4379-AC6E-00FEA94CC290}"/>
  </hyperlinks>
  <pageMargins left="0.69930555555555596" right="0.69930555555555596"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5A93-700D-411E-9EDA-7C638ED1C627}">
  <dimension ref="A1:AB188"/>
  <sheetViews>
    <sheetView zoomScale="80" zoomScaleNormal="80" workbookViewId="0">
      <pane xSplit="3" ySplit="6" topLeftCell="D7" activePane="bottomRight" state="frozenSplit"/>
      <selection pane="topRight" activeCell="AU6" sqref="AU6"/>
      <selection pane="bottomLeft" activeCell="B120" sqref="B120"/>
      <selection pane="bottomRight" activeCell="Q82" sqref="Q82"/>
    </sheetView>
  </sheetViews>
  <sheetFormatPr defaultRowHeight="15"/>
  <cols>
    <col min="1" max="1" width="10.7109375" customWidth="1"/>
    <col min="2" max="2" width="15.140625" customWidth="1"/>
    <col min="3" max="3" width="13.85546875" customWidth="1"/>
    <col min="4" max="17" width="9.7109375" customWidth="1"/>
    <col min="18" max="18" width="9.7109375" style="1289" customWidth="1"/>
    <col min="19" max="20" width="9.7109375" customWidth="1"/>
    <col min="21" max="22" width="10.85546875" bestFit="1" customWidth="1"/>
    <col min="23" max="24" width="9.7109375" customWidth="1"/>
    <col min="26" max="28" width="9.140625" customWidth="1"/>
  </cols>
  <sheetData>
    <row r="1" spans="1:28" ht="21">
      <c r="A1" s="496" t="s">
        <v>32</v>
      </c>
      <c r="U1" s="888" t="s">
        <v>458</v>
      </c>
    </row>
    <row r="2" spans="1:28" ht="18.75">
      <c r="A2" s="495" t="s">
        <v>294</v>
      </c>
      <c r="Q2" s="605"/>
      <c r="S2" s="605"/>
    </row>
    <row r="3" spans="1:28" ht="18.75">
      <c r="A3" s="495" t="s">
        <v>317</v>
      </c>
      <c r="Q3" s="605"/>
    </row>
    <row r="4" spans="1:28" ht="18.75">
      <c r="A4" s="495" t="s">
        <v>316</v>
      </c>
    </row>
    <row r="6" spans="1:28">
      <c r="A6" s="497" t="s">
        <v>53</v>
      </c>
      <c r="B6" s="579" t="s">
        <v>215</v>
      </c>
      <c r="C6" s="579" t="s">
        <v>310</v>
      </c>
      <c r="D6" s="579">
        <v>2004</v>
      </c>
      <c r="E6" s="579">
        <v>2005</v>
      </c>
      <c r="F6" s="579">
        <v>2006</v>
      </c>
      <c r="G6" s="579">
        <v>2007</v>
      </c>
      <c r="H6" s="579">
        <v>2008</v>
      </c>
      <c r="I6" s="579">
        <v>2009</v>
      </c>
      <c r="J6" s="579">
        <v>2010</v>
      </c>
      <c r="K6" s="579">
        <v>2011</v>
      </c>
      <c r="L6" s="579">
        <v>2012</v>
      </c>
      <c r="M6" s="579">
        <v>2013</v>
      </c>
      <c r="N6" s="579">
        <v>2014</v>
      </c>
      <c r="O6" s="579">
        <v>2015</v>
      </c>
      <c r="P6" s="579">
        <v>2016</v>
      </c>
      <c r="Q6" s="579">
        <v>2017</v>
      </c>
      <c r="R6" s="1290">
        <v>2018</v>
      </c>
      <c r="S6" s="579">
        <v>2019</v>
      </c>
      <c r="T6" s="579">
        <v>2020</v>
      </c>
      <c r="U6" s="1088">
        <v>2021</v>
      </c>
    </row>
    <row r="7" spans="1:28">
      <c r="A7" s="497" t="s">
        <v>127</v>
      </c>
      <c r="B7" s="579" t="s">
        <v>296</v>
      </c>
      <c r="C7" s="579" t="s">
        <v>127</v>
      </c>
      <c r="D7" s="583">
        <v>124556</v>
      </c>
      <c r="E7" s="583">
        <v>121435</v>
      </c>
      <c r="F7" s="583">
        <v>122736</v>
      </c>
      <c r="G7" s="583">
        <v>123780</v>
      </c>
      <c r="H7" s="583">
        <v>122431</v>
      </c>
      <c r="I7" s="583">
        <v>121982</v>
      </c>
      <c r="J7" s="583">
        <v>107632</v>
      </c>
      <c r="K7" s="583">
        <v>122642</v>
      </c>
      <c r="L7" s="583">
        <v>123570</v>
      </c>
      <c r="M7" s="583">
        <v>122572</v>
      </c>
      <c r="N7" s="583">
        <v>123283</v>
      </c>
      <c r="O7" s="583">
        <v>114506</v>
      </c>
      <c r="P7" s="583">
        <v>123809</v>
      </c>
      <c r="Q7" s="583">
        <v>122813</v>
      </c>
      <c r="R7" s="1291">
        <v>119044</v>
      </c>
      <c r="S7" s="583">
        <v>117969</v>
      </c>
      <c r="T7" s="1189">
        <v>112913</v>
      </c>
      <c r="U7" s="954">
        <v>109561</v>
      </c>
      <c r="V7" s="499"/>
      <c r="W7" s="499"/>
      <c r="X7" s="499"/>
      <c r="Y7" s="499"/>
      <c r="Z7" s="589"/>
      <c r="AA7" s="589"/>
      <c r="AB7" s="589"/>
    </row>
    <row r="8" spans="1:28">
      <c r="A8" s="498"/>
      <c r="B8" s="499"/>
      <c r="C8" s="580" t="s">
        <v>56</v>
      </c>
      <c r="D8" s="585">
        <v>5694</v>
      </c>
      <c r="E8" s="585">
        <v>5903</v>
      </c>
      <c r="F8" s="585">
        <v>5623</v>
      </c>
      <c r="G8" s="585">
        <v>5912</v>
      </c>
      <c r="H8" s="585">
        <v>5464</v>
      </c>
      <c r="I8" s="585">
        <v>5033</v>
      </c>
      <c r="J8" s="585">
        <v>5224</v>
      </c>
      <c r="K8" s="585">
        <v>5083</v>
      </c>
      <c r="L8" s="585">
        <v>5477</v>
      </c>
      <c r="M8" s="585">
        <v>5528</v>
      </c>
      <c r="N8" s="585">
        <v>5557</v>
      </c>
      <c r="O8" s="585">
        <v>5574</v>
      </c>
      <c r="P8" s="585">
        <v>5364</v>
      </c>
      <c r="Q8" s="585">
        <v>5380</v>
      </c>
      <c r="R8" s="1292">
        <v>5224</v>
      </c>
      <c r="S8" s="585">
        <v>5179</v>
      </c>
      <c r="T8" s="585">
        <v>4870</v>
      </c>
      <c r="U8" s="954">
        <v>5334</v>
      </c>
      <c r="V8" s="499"/>
      <c r="W8" s="499"/>
      <c r="X8" s="499"/>
      <c r="Y8" s="499"/>
      <c r="Z8" s="589"/>
      <c r="AA8" s="589"/>
      <c r="AB8" s="589"/>
    </row>
    <row r="9" spans="1:28">
      <c r="A9" s="498"/>
      <c r="B9" s="499"/>
      <c r="C9" s="580" t="s">
        <v>121</v>
      </c>
      <c r="D9" s="585">
        <v>1523</v>
      </c>
      <c r="E9" s="585">
        <v>1566</v>
      </c>
      <c r="F9" s="585">
        <v>1654</v>
      </c>
      <c r="G9" s="585">
        <v>1754</v>
      </c>
      <c r="H9" s="585">
        <v>1398</v>
      </c>
      <c r="I9" s="585">
        <v>1274</v>
      </c>
      <c r="J9" s="585">
        <v>1200</v>
      </c>
      <c r="K9" s="585">
        <v>1292</v>
      </c>
      <c r="L9" s="585">
        <v>1380</v>
      </c>
      <c r="M9" s="585">
        <v>1626</v>
      </c>
      <c r="N9" s="585">
        <v>1602</v>
      </c>
      <c r="O9" s="585">
        <v>1773</v>
      </c>
      <c r="P9" s="585">
        <v>1675</v>
      </c>
      <c r="Q9" s="585">
        <v>1566</v>
      </c>
      <c r="R9" s="1292">
        <v>1631</v>
      </c>
      <c r="S9" s="585">
        <v>1627</v>
      </c>
      <c r="T9" s="585">
        <v>1429</v>
      </c>
      <c r="U9" s="954">
        <v>1544</v>
      </c>
      <c r="V9" s="499"/>
      <c r="W9" s="499"/>
      <c r="X9" s="499"/>
      <c r="Y9" s="499"/>
      <c r="Z9" s="589"/>
      <c r="AA9" s="589"/>
      <c r="AB9" s="589"/>
    </row>
    <row r="10" spans="1:28">
      <c r="A10" s="498"/>
      <c r="B10" s="499"/>
      <c r="C10" s="580" t="s">
        <v>58</v>
      </c>
      <c r="D10" s="585">
        <v>4107</v>
      </c>
      <c r="E10" s="585">
        <v>5431</v>
      </c>
      <c r="F10" s="585">
        <v>5421</v>
      </c>
      <c r="G10" s="585">
        <v>6203</v>
      </c>
      <c r="H10" s="585">
        <v>5217</v>
      </c>
      <c r="I10" s="585">
        <v>5205</v>
      </c>
      <c r="J10" s="585">
        <v>6042</v>
      </c>
      <c r="K10" s="585">
        <v>8067</v>
      </c>
      <c r="L10" s="585">
        <v>8683</v>
      </c>
      <c r="M10" s="585">
        <v>9379</v>
      </c>
      <c r="N10" s="585">
        <v>9709</v>
      </c>
      <c r="O10" s="585">
        <v>10915</v>
      </c>
      <c r="P10" s="585">
        <v>11157</v>
      </c>
      <c r="Q10" s="585">
        <v>10970</v>
      </c>
      <c r="R10" s="1292">
        <v>12110</v>
      </c>
      <c r="S10" s="585">
        <v>13181</v>
      </c>
      <c r="T10" s="585">
        <v>13008</v>
      </c>
      <c r="U10" s="954">
        <v>13234</v>
      </c>
      <c r="V10" s="499"/>
      <c r="W10" s="499"/>
      <c r="X10" s="499"/>
      <c r="Y10" s="499"/>
      <c r="Z10" s="589"/>
      <c r="AA10" s="589"/>
      <c r="AB10" s="589"/>
    </row>
    <row r="11" spans="1:28">
      <c r="A11" s="498"/>
      <c r="B11" s="499"/>
      <c r="C11" s="580" t="s">
        <v>59</v>
      </c>
      <c r="D11" s="585">
        <v>34203</v>
      </c>
      <c r="E11" s="585">
        <v>36020</v>
      </c>
      <c r="F11" s="585">
        <v>38352</v>
      </c>
      <c r="G11" s="585">
        <v>41054</v>
      </c>
      <c r="H11" s="585">
        <v>40739</v>
      </c>
      <c r="I11" s="585">
        <v>38176</v>
      </c>
      <c r="J11" s="585">
        <v>40266</v>
      </c>
      <c r="K11" s="585">
        <v>40491</v>
      </c>
      <c r="L11" s="585">
        <v>42727</v>
      </c>
      <c r="M11" s="585">
        <v>43669</v>
      </c>
      <c r="N11" s="585">
        <v>43554</v>
      </c>
      <c r="O11" s="585">
        <v>43899</v>
      </c>
      <c r="P11" s="585">
        <v>45149</v>
      </c>
      <c r="Q11" s="585">
        <v>44765</v>
      </c>
      <c r="R11" s="1292">
        <v>43979</v>
      </c>
      <c r="S11" s="585">
        <v>42558</v>
      </c>
      <c r="T11" s="585">
        <v>39652</v>
      </c>
      <c r="U11" s="954">
        <v>38111</v>
      </c>
      <c r="V11" s="499"/>
      <c r="W11" s="499"/>
      <c r="X11" s="499"/>
      <c r="Y11" s="499"/>
      <c r="Z11" s="589"/>
      <c r="AA11" s="589"/>
      <c r="AB11" s="589"/>
    </row>
    <row r="12" spans="1:28">
      <c r="A12" s="498"/>
      <c r="B12" s="499"/>
      <c r="C12" s="582" t="s">
        <v>51</v>
      </c>
      <c r="D12" s="587">
        <v>8137</v>
      </c>
      <c r="E12" s="587">
        <v>11205</v>
      </c>
      <c r="F12" s="587">
        <v>12813</v>
      </c>
      <c r="G12" s="587">
        <v>10623</v>
      </c>
      <c r="H12" s="587">
        <v>13265</v>
      </c>
      <c r="I12" s="587">
        <v>10691</v>
      </c>
      <c r="J12" s="587">
        <v>10129</v>
      </c>
      <c r="K12" s="587">
        <v>13802</v>
      </c>
      <c r="L12" s="587">
        <v>14999</v>
      </c>
      <c r="M12" s="587">
        <v>14979</v>
      </c>
      <c r="N12" s="587">
        <v>14791</v>
      </c>
      <c r="O12" s="587">
        <v>17032</v>
      </c>
      <c r="P12" s="587">
        <v>17133</v>
      </c>
      <c r="Q12" s="587">
        <v>14818</v>
      </c>
      <c r="R12" s="1293">
        <v>15427</v>
      </c>
      <c r="S12" s="587">
        <v>14731</v>
      </c>
      <c r="T12" s="587">
        <v>13615</v>
      </c>
      <c r="U12" s="954">
        <v>14075</v>
      </c>
      <c r="V12" s="499"/>
      <c r="W12" s="499"/>
      <c r="X12" s="499"/>
      <c r="Y12" s="499"/>
      <c r="Z12" s="589"/>
      <c r="AA12" s="589"/>
      <c r="AB12" s="589"/>
    </row>
    <row r="13" spans="1:28">
      <c r="A13" s="498"/>
      <c r="B13" s="499"/>
      <c r="C13" s="499" t="s">
        <v>52</v>
      </c>
      <c r="D13" s="589">
        <v>178220</v>
      </c>
      <c r="E13" s="589">
        <v>181560</v>
      </c>
      <c r="F13" s="589">
        <v>186599</v>
      </c>
      <c r="G13" s="589">
        <v>189326</v>
      </c>
      <c r="H13" s="589">
        <v>188514</v>
      </c>
      <c r="I13" s="589">
        <v>182361</v>
      </c>
      <c r="J13" s="589">
        <v>170493</v>
      </c>
      <c r="K13" s="589">
        <v>191377</v>
      </c>
      <c r="L13" s="589">
        <v>196836</v>
      </c>
      <c r="M13" s="589">
        <v>197753</v>
      </c>
      <c r="N13" s="589">
        <v>198496</v>
      </c>
      <c r="O13" s="589">
        <v>193699</v>
      </c>
      <c r="P13" s="589">
        <v>204287</v>
      </c>
      <c r="Q13" s="589">
        <f t="shared" ref="Q13:S13" si="0">SUM(Q7:Q12)</f>
        <v>200312</v>
      </c>
      <c r="R13" s="1096">
        <f t="shared" si="0"/>
        <v>197415</v>
      </c>
      <c r="S13" s="589">
        <f t="shared" si="0"/>
        <v>195245</v>
      </c>
      <c r="T13" s="589">
        <v>185487</v>
      </c>
      <c r="U13" s="1170">
        <f>SUM(U7:U12)</f>
        <v>181859</v>
      </c>
      <c r="V13" s="499"/>
      <c r="W13" s="499"/>
      <c r="X13" s="499"/>
      <c r="Y13" s="499"/>
      <c r="Z13" s="589"/>
      <c r="AA13" s="589"/>
      <c r="AB13" s="589"/>
    </row>
    <row r="14" spans="1:28">
      <c r="A14" s="498"/>
      <c r="B14" s="579" t="s">
        <v>297</v>
      </c>
      <c r="C14" s="579" t="s">
        <v>127</v>
      </c>
      <c r="D14" s="583">
        <v>971239</v>
      </c>
      <c r="E14" s="583">
        <v>1080746</v>
      </c>
      <c r="F14" s="583">
        <v>1078285</v>
      </c>
      <c r="G14" s="583">
        <v>1153079</v>
      </c>
      <c r="H14" s="583">
        <v>1219771</v>
      </c>
      <c r="I14" s="583">
        <v>1171570</v>
      </c>
      <c r="J14" s="583">
        <v>1393571</v>
      </c>
      <c r="K14" s="583">
        <v>1359510</v>
      </c>
      <c r="L14" s="583">
        <v>1336003</v>
      </c>
      <c r="M14" s="583">
        <v>1341784</v>
      </c>
      <c r="N14" s="583">
        <v>1378585</v>
      </c>
      <c r="O14" s="583">
        <v>1403873</v>
      </c>
      <c r="P14" s="583">
        <v>1405787</v>
      </c>
      <c r="Q14" s="583">
        <v>1474756</v>
      </c>
      <c r="R14" s="1291">
        <v>1531255</v>
      </c>
      <c r="S14" s="583">
        <v>1582576</v>
      </c>
      <c r="T14" s="1190">
        <v>1566780</v>
      </c>
      <c r="U14" s="1171">
        <v>1603106</v>
      </c>
      <c r="V14" s="1096"/>
      <c r="W14" s="499"/>
      <c r="X14" s="499"/>
      <c r="Y14" s="499"/>
      <c r="Z14" s="589"/>
      <c r="AA14" s="589"/>
      <c r="AB14" s="589"/>
    </row>
    <row r="15" spans="1:28">
      <c r="A15" s="498"/>
      <c r="B15" s="499"/>
      <c r="C15" s="582" t="s">
        <v>51</v>
      </c>
      <c r="D15" s="587">
        <v>40120</v>
      </c>
      <c r="E15" s="587">
        <v>96339</v>
      </c>
      <c r="F15" s="587">
        <v>99323</v>
      </c>
      <c r="G15" s="587">
        <v>102649</v>
      </c>
      <c r="H15" s="587">
        <v>74457</v>
      </c>
      <c r="I15" s="587">
        <v>68063</v>
      </c>
      <c r="J15" s="587">
        <v>50668</v>
      </c>
      <c r="K15" s="587">
        <v>56387</v>
      </c>
      <c r="L15" s="587">
        <v>59924</v>
      </c>
      <c r="M15" s="587">
        <v>64414</v>
      </c>
      <c r="N15" s="587">
        <v>58943</v>
      </c>
      <c r="O15" s="587">
        <v>55520</v>
      </c>
      <c r="P15" s="587">
        <v>56783</v>
      </c>
      <c r="Q15" s="587">
        <v>57465</v>
      </c>
      <c r="R15" s="1293">
        <v>56253</v>
      </c>
      <c r="S15" s="587">
        <v>56967</v>
      </c>
      <c r="T15" s="1191">
        <v>61676</v>
      </c>
      <c r="U15" s="1176">
        <v>30955</v>
      </c>
      <c r="V15" s="1096"/>
      <c r="W15" s="499"/>
      <c r="X15" s="499"/>
      <c r="Y15" s="499"/>
      <c r="Z15" s="589"/>
      <c r="AA15" s="589"/>
      <c r="AB15" s="589"/>
    </row>
    <row r="16" spans="1:28">
      <c r="A16" s="498"/>
      <c r="B16" s="502"/>
      <c r="C16" s="502" t="s">
        <v>52</v>
      </c>
      <c r="D16" s="590">
        <v>1011359</v>
      </c>
      <c r="E16" s="590">
        <v>1177085</v>
      </c>
      <c r="F16" s="590">
        <v>1177608</v>
      </c>
      <c r="G16" s="590">
        <v>1255728</v>
      </c>
      <c r="H16" s="590">
        <v>1294228</v>
      </c>
      <c r="I16" s="590">
        <v>1239633</v>
      </c>
      <c r="J16" s="590">
        <v>1444239</v>
      </c>
      <c r="K16" s="590">
        <v>1415897</v>
      </c>
      <c r="L16" s="590">
        <v>1395927</v>
      </c>
      <c r="M16" s="590">
        <v>1406198</v>
      </c>
      <c r="N16" s="590">
        <v>1437528</v>
      </c>
      <c r="O16" s="590">
        <v>1459393</v>
      </c>
      <c r="P16" s="590">
        <v>1462570</v>
      </c>
      <c r="Q16" s="590">
        <v>1532221</v>
      </c>
      <c r="R16" s="1294">
        <f t="shared" ref="R16:S16" si="1">SUM(R14:R15)</f>
        <v>1587508</v>
      </c>
      <c r="S16" s="590">
        <f t="shared" si="1"/>
        <v>1639543</v>
      </c>
      <c r="T16" s="1192">
        <v>1628456</v>
      </c>
      <c r="U16" s="1174">
        <f>SUM(U14:U15)</f>
        <v>1634061</v>
      </c>
      <c r="V16" s="589"/>
      <c r="W16" s="499"/>
      <c r="X16" s="499"/>
      <c r="Y16" s="499"/>
      <c r="Z16" s="589"/>
      <c r="AA16" s="589"/>
      <c r="AB16" s="589"/>
    </row>
    <row r="17" spans="1:28">
      <c r="A17" s="498"/>
      <c r="B17" s="499" t="s">
        <v>311</v>
      </c>
      <c r="C17" s="499" t="s">
        <v>127</v>
      </c>
      <c r="D17" s="589">
        <v>687801</v>
      </c>
      <c r="E17" s="589">
        <v>816560</v>
      </c>
      <c r="F17" s="589">
        <v>910566</v>
      </c>
      <c r="G17" s="589">
        <v>1011882</v>
      </c>
      <c r="H17" s="589">
        <v>1138645</v>
      </c>
      <c r="I17" s="589">
        <v>1159153</v>
      </c>
      <c r="J17" s="589">
        <v>1254313</v>
      </c>
      <c r="K17" s="589">
        <v>1282053</v>
      </c>
      <c r="L17" s="589">
        <v>1338181</v>
      </c>
      <c r="M17" s="589">
        <v>1374793</v>
      </c>
      <c r="N17" s="589">
        <v>1412593</v>
      </c>
      <c r="O17" s="589">
        <v>1411259</v>
      </c>
      <c r="P17" s="589">
        <v>1408532</v>
      </c>
      <c r="Q17" s="589">
        <v>1424706</v>
      </c>
      <c r="R17" s="1096">
        <v>1486660</v>
      </c>
      <c r="S17" s="589">
        <v>1472082</v>
      </c>
      <c r="T17" s="589">
        <v>1451094</v>
      </c>
      <c r="U17" s="1171">
        <v>1534404</v>
      </c>
      <c r="V17" s="589"/>
      <c r="W17" s="499"/>
      <c r="X17" s="499"/>
      <c r="Y17" s="499"/>
      <c r="Z17" s="589"/>
      <c r="AA17" s="589"/>
      <c r="AB17" s="589"/>
    </row>
    <row r="18" spans="1:28">
      <c r="A18" s="498"/>
      <c r="B18" s="499"/>
      <c r="C18" s="580" t="s">
        <v>56</v>
      </c>
      <c r="D18" s="585">
        <v>15944</v>
      </c>
      <c r="E18" s="585">
        <v>17798</v>
      </c>
      <c r="F18" s="585">
        <v>18332</v>
      </c>
      <c r="G18" s="585">
        <v>18903</v>
      </c>
      <c r="H18" s="585">
        <v>19323</v>
      </c>
      <c r="I18" s="585">
        <v>16218</v>
      </c>
      <c r="J18" s="585">
        <v>15898</v>
      </c>
      <c r="K18" s="585">
        <v>15940</v>
      </c>
      <c r="L18" s="585">
        <v>15422</v>
      </c>
      <c r="M18" s="585">
        <v>15076</v>
      </c>
      <c r="N18" s="585">
        <v>15593</v>
      </c>
      <c r="O18" s="585">
        <v>15210</v>
      </c>
      <c r="P18" s="585">
        <v>15204</v>
      </c>
      <c r="Q18" s="585">
        <v>15179</v>
      </c>
      <c r="R18" s="1292">
        <v>15660</v>
      </c>
      <c r="S18" s="585">
        <v>15215</v>
      </c>
      <c r="T18" s="585">
        <v>14402</v>
      </c>
      <c r="U18" s="1176">
        <v>15590</v>
      </c>
      <c r="V18" s="499"/>
      <c r="W18" s="499"/>
      <c r="X18" s="499"/>
      <c r="Y18" s="499"/>
      <c r="Z18" s="589"/>
      <c r="AA18" s="589"/>
      <c r="AB18" s="589"/>
    </row>
    <row r="19" spans="1:28">
      <c r="A19" s="498"/>
      <c r="B19" s="499"/>
      <c r="C19" s="580" t="s">
        <v>121</v>
      </c>
      <c r="D19" s="585">
        <v>7580</v>
      </c>
      <c r="E19" s="585">
        <v>8511</v>
      </c>
      <c r="F19" s="585">
        <v>9030</v>
      </c>
      <c r="G19" s="585">
        <v>9412</v>
      </c>
      <c r="H19" s="585">
        <v>9634</v>
      </c>
      <c r="I19" s="585">
        <v>7998</v>
      </c>
      <c r="J19" s="585">
        <v>8651</v>
      </c>
      <c r="K19" s="585">
        <v>9277</v>
      </c>
      <c r="L19" s="585">
        <v>8814</v>
      </c>
      <c r="M19" s="585">
        <v>10112</v>
      </c>
      <c r="N19" s="585">
        <v>10697</v>
      </c>
      <c r="O19" s="585">
        <v>10254</v>
      </c>
      <c r="P19" s="585">
        <v>10176</v>
      </c>
      <c r="Q19" s="585">
        <v>10133</v>
      </c>
      <c r="R19" s="1292">
        <v>11071</v>
      </c>
      <c r="S19" s="585">
        <v>10615</v>
      </c>
      <c r="T19" s="585">
        <v>10021</v>
      </c>
      <c r="U19" s="1176">
        <v>10909</v>
      </c>
      <c r="V19" s="499"/>
      <c r="W19" s="499"/>
      <c r="X19" s="499"/>
      <c r="Y19" s="499"/>
      <c r="Z19" s="589"/>
      <c r="AA19" s="589"/>
      <c r="AB19" s="589"/>
    </row>
    <row r="20" spans="1:28">
      <c r="A20" s="498"/>
      <c r="B20" s="499"/>
      <c r="C20" s="580" t="s">
        <v>58</v>
      </c>
      <c r="D20" s="585">
        <v>12222</v>
      </c>
      <c r="E20" s="585">
        <v>14847</v>
      </c>
      <c r="F20" s="585">
        <v>17200</v>
      </c>
      <c r="G20" s="585">
        <v>18452</v>
      </c>
      <c r="H20" s="585">
        <v>20634</v>
      </c>
      <c r="I20" s="585">
        <v>19042</v>
      </c>
      <c r="J20" s="585">
        <v>21697</v>
      </c>
      <c r="K20" s="585">
        <v>22132</v>
      </c>
      <c r="L20" s="585">
        <v>23137</v>
      </c>
      <c r="M20" s="585">
        <v>23908</v>
      </c>
      <c r="N20" s="585">
        <v>25285</v>
      </c>
      <c r="O20" s="585">
        <v>24738</v>
      </c>
      <c r="P20" s="585">
        <v>25310</v>
      </c>
      <c r="Q20" s="585">
        <v>25848</v>
      </c>
      <c r="R20" s="1292">
        <v>27700</v>
      </c>
      <c r="S20" s="585">
        <v>28575</v>
      </c>
      <c r="T20" s="585">
        <v>27513</v>
      </c>
      <c r="U20" s="1176">
        <v>29314</v>
      </c>
      <c r="V20" s="499"/>
      <c r="W20" s="499"/>
      <c r="X20" s="499"/>
      <c r="Y20" s="499"/>
      <c r="Z20" s="589"/>
      <c r="AA20" s="589"/>
      <c r="AB20" s="589"/>
    </row>
    <row r="21" spans="1:28">
      <c r="A21" s="498"/>
      <c r="B21" s="499"/>
      <c r="C21" s="580" t="s">
        <v>59</v>
      </c>
      <c r="D21" s="585">
        <v>18721</v>
      </c>
      <c r="E21" s="585">
        <v>18554</v>
      </c>
      <c r="F21" s="585">
        <v>21211</v>
      </c>
      <c r="G21" s="585">
        <v>23679</v>
      </c>
      <c r="H21" s="585">
        <v>28255</v>
      </c>
      <c r="I21" s="585">
        <v>34041</v>
      </c>
      <c r="J21" s="585">
        <v>38558</v>
      </c>
      <c r="K21" s="585">
        <v>39823</v>
      </c>
      <c r="L21" s="585">
        <v>42468</v>
      </c>
      <c r="M21" s="585">
        <v>45235</v>
      </c>
      <c r="N21" s="585">
        <v>48125</v>
      </c>
      <c r="O21" s="585">
        <v>49304</v>
      </c>
      <c r="P21" s="585">
        <v>52120</v>
      </c>
      <c r="Q21" s="585">
        <v>52230</v>
      </c>
      <c r="R21" s="1292">
        <v>51720</v>
      </c>
      <c r="S21" s="585">
        <v>52134</v>
      </c>
      <c r="T21" s="585">
        <v>51247</v>
      </c>
      <c r="U21" s="1176">
        <v>52002</v>
      </c>
      <c r="V21" s="499"/>
      <c r="W21" s="499"/>
      <c r="X21" s="499"/>
      <c r="Y21" s="499"/>
      <c r="Z21" s="589"/>
      <c r="AA21" s="589"/>
      <c r="AB21" s="589"/>
    </row>
    <row r="22" spans="1:28">
      <c r="A22" s="498"/>
      <c r="B22" s="499"/>
      <c r="C22" s="582" t="s">
        <v>51</v>
      </c>
      <c r="D22" s="587">
        <v>23407</v>
      </c>
      <c r="E22" s="587">
        <v>29995</v>
      </c>
      <c r="F22" s="587">
        <v>39646</v>
      </c>
      <c r="G22" s="587">
        <v>33210</v>
      </c>
      <c r="H22" s="587">
        <v>38054</v>
      </c>
      <c r="I22" s="587">
        <v>26814</v>
      </c>
      <c r="J22" s="587">
        <v>49916</v>
      </c>
      <c r="K22" s="587">
        <v>83898</v>
      </c>
      <c r="L22" s="587">
        <v>86221</v>
      </c>
      <c r="M22" s="587">
        <v>88813</v>
      </c>
      <c r="N22" s="587">
        <v>90623</v>
      </c>
      <c r="O22" s="587">
        <v>88099</v>
      </c>
      <c r="P22" s="587">
        <v>84467</v>
      </c>
      <c r="Q22" s="587">
        <v>84095</v>
      </c>
      <c r="R22" s="1293">
        <v>90142</v>
      </c>
      <c r="S22" s="587">
        <v>84551</v>
      </c>
      <c r="T22" s="587">
        <v>77098</v>
      </c>
      <c r="U22" s="1176">
        <v>84709</v>
      </c>
      <c r="V22" s="589"/>
      <c r="W22" s="499"/>
      <c r="X22" s="499"/>
      <c r="Y22" s="499"/>
      <c r="Z22" s="589"/>
      <c r="AA22" s="589"/>
      <c r="AB22" s="589"/>
    </row>
    <row r="23" spans="1:28">
      <c r="A23" s="498"/>
      <c r="B23" s="499"/>
      <c r="C23" s="499" t="s">
        <v>52</v>
      </c>
      <c r="D23" s="589">
        <v>765675</v>
      </c>
      <c r="E23" s="589">
        <v>906265</v>
      </c>
      <c r="F23" s="589">
        <v>1015985</v>
      </c>
      <c r="G23" s="589">
        <v>1115538</v>
      </c>
      <c r="H23" s="589">
        <v>1254545</v>
      </c>
      <c r="I23" s="589">
        <v>1263266</v>
      </c>
      <c r="J23" s="589">
        <v>1389033</v>
      </c>
      <c r="K23" s="589">
        <v>1453123</v>
      </c>
      <c r="L23" s="589">
        <v>1514243</v>
      </c>
      <c r="M23" s="589">
        <v>1557937</v>
      </c>
      <c r="N23" s="589">
        <v>1602916</v>
      </c>
      <c r="O23" s="589">
        <v>1598864</v>
      </c>
      <c r="P23" s="589">
        <v>1595809</v>
      </c>
      <c r="Q23" s="589">
        <f t="shared" ref="Q23" si="2">SUM(Q17:Q22)</f>
        <v>1612191</v>
      </c>
      <c r="R23" s="1096">
        <f t="shared" ref="R23" si="3">SUM(R17:R22)</f>
        <v>1682953</v>
      </c>
      <c r="S23" s="589">
        <f t="shared" ref="S23" si="4">SUM(S17:S22)</f>
        <v>1663172</v>
      </c>
      <c r="T23" s="1178">
        <v>1631375</v>
      </c>
      <c r="U23" s="1174">
        <f>SUM(U17:U22)</f>
        <v>1726928</v>
      </c>
      <c r="V23" s="1268"/>
      <c r="W23" s="499"/>
      <c r="X23" s="499"/>
      <c r="Y23" s="499"/>
      <c r="Z23" s="589"/>
      <c r="AA23" s="589"/>
      <c r="AB23" s="589"/>
    </row>
    <row r="24" spans="1:28">
      <c r="A24" s="501"/>
      <c r="B24" s="516" t="s">
        <v>52</v>
      </c>
      <c r="C24" s="516"/>
      <c r="D24" s="591">
        <v>1955254</v>
      </c>
      <c r="E24" s="591">
        <v>2264910</v>
      </c>
      <c r="F24" s="591">
        <v>2380192</v>
      </c>
      <c r="G24" s="591">
        <v>2560592</v>
      </c>
      <c r="H24" s="591">
        <v>2737287</v>
      </c>
      <c r="I24" s="591">
        <v>2685260</v>
      </c>
      <c r="J24" s="591">
        <v>3003765</v>
      </c>
      <c r="K24" s="591">
        <v>3060397</v>
      </c>
      <c r="L24" s="591">
        <v>3107006</v>
      </c>
      <c r="M24" s="591">
        <v>3161888</v>
      </c>
      <c r="N24" s="591">
        <v>3238940</v>
      </c>
      <c r="O24" s="591">
        <v>3251956</v>
      </c>
      <c r="P24" s="591">
        <v>3262666</v>
      </c>
      <c r="Q24" s="591">
        <v>3344724</v>
      </c>
      <c r="R24" s="1195">
        <f t="shared" ref="R24" si="5">R13+R16+R23</f>
        <v>3467876</v>
      </c>
      <c r="S24" s="591">
        <f t="shared" ref="S24" si="6">S13+S16+S23</f>
        <v>3497960</v>
      </c>
      <c r="T24" s="591">
        <v>3445318</v>
      </c>
      <c r="U24" s="1266">
        <f>U13+U16+U23</f>
        <v>3542848</v>
      </c>
      <c r="V24" s="1267"/>
      <c r="W24" s="499"/>
      <c r="X24" s="499"/>
      <c r="Y24" s="499"/>
      <c r="Z24" s="589"/>
      <c r="AA24" s="589"/>
      <c r="AB24" s="589"/>
    </row>
    <row r="25" spans="1:28">
      <c r="A25" s="497" t="s">
        <v>56</v>
      </c>
      <c r="B25" s="579" t="s">
        <v>296</v>
      </c>
      <c r="C25" s="579" t="s">
        <v>127</v>
      </c>
      <c r="D25" s="583">
        <v>4757</v>
      </c>
      <c r="E25" s="583">
        <v>4612</v>
      </c>
      <c r="F25" s="583">
        <v>4141</v>
      </c>
      <c r="G25" s="583">
        <v>4021</v>
      </c>
      <c r="H25" s="583">
        <v>3438</v>
      </c>
      <c r="I25" s="583">
        <v>2661</v>
      </c>
      <c r="J25" s="583">
        <v>2282</v>
      </c>
      <c r="K25" s="583">
        <v>2811</v>
      </c>
      <c r="L25" s="583">
        <v>3057</v>
      </c>
      <c r="M25" s="583">
        <v>3288</v>
      </c>
      <c r="N25" s="583">
        <v>3542</v>
      </c>
      <c r="O25" s="583">
        <v>4190</v>
      </c>
      <c r="P25" s="583">
        <v>4583</v>
      </c>
      <c r="Q25" s="583">
        <v>4992</v>
      </c>
      <c r="R25" s="1291">
        <v>5122</v>
      </c>
      <c r="S25" s="583">
        <v>4828</v>
      </c>
      <c r="T25" s="583">
        <v>4296</v>
      </c>
      <c r="U25" s="1171">
        <v>3159</v>
      </c>
      <c r="V25" s="499"/>
      <c r="W25" s="499"/>
      <c r="X25" s="499"/>
      <c r="Y25" s="499"/>
      <c r="Z25" s="589"/>
      <c r="AA25" s="589"/>
      <c r="AB25" s="589"/>
    </row>
    <row r="26" spans="1:28">
      <c r="A26" s="498"/>
      <c r="B26" s="499"/>
      <c r="C26" s="580" t="s">
        <v>56</v>
      </c>
      <c r="D26" s="585">
        <v>362342</v>
      </c>
      <c r="E26" s="585">
        <v>359382</v>
      </c>
      <c r="F26" s="585">
        <v>336013</v>
      </c>
      <c r="G26" s="585">
        <v>321375</v>
      </c>
      <c r="H26" s="585">
        <v>317528</v>
      </c>
      <c r="I26" s="585">
        <v>282359</v>
      </c>
      <c r="J26" s="585">
        <v>276156</v>
      </c>
      <c r="K26" s="585">
        <v>271683</v>
      </c>
      <c r="L26" s="585">
        <v>269132</v>
      </c>
      <c r="M26" s="585">
        <v>252391</v>
      </c>
      <c r="N26" s="585">
        <v>245343</v>
      </c>
      <c r="O26" s="585">
        <v>237574</v>
      </c>
      <c r="P26" s="585">
        <v>238167</v>
      </c>
      <c r="Q26" s="585">
        <v>236216</v>
      </c>
      <c r="R26" s="1292">
        <v>228705</v>
      </c>
      <c r="S26" s="585">
        <v>219138</v>
      </c>
      <c r="T26" s="585">
        <v>200385</v>
      </c>
      <c r="U26" s="1176">
        <v>194630</v>
      </c>
      <c r="V26" s="499"/>
      <c r="W26" s="499"/>
      <c r="X26" s="499"/>
      <c r="Y26" s="499"/>
      <c r="Z26" s="589"/>
      <c r="AA26" s="589"/>
      <c r="AB26" s="589"/>
    </row>
    <row r="27" spans="1:28">
      <c r="A27" s="498"/>
      <c r="B27" s="499"/>
      <c r="C27" s="580" t="s">
        <v>121</v>
      </c>
      <c r="D27" s="585">
        <v>9017</v>
      </c>
      <c r="E27" s="585">
        <v>9201</v>
      </c>
      <c r="F27" s="585">
        <v>9222</v>
      </c>
      <c r="G27" s="585">
        <v>8853</v>
      </c>
      <c r="H27" s="585">
        <v>8039</v>
      </c>
      <c r="I27" s="585">
        <v>5857</v>
      </c>
      <c r="J27" s="585">
        <v>5471</v>
      </c>
      <c r="K27" s="585">
        <v>6242</v>
      </c>
      <c r="L27" s="585">
        <v>6203</v>
      </c>
      <c r="M27" s="585">
        <v>5502</v>
      </c>
      <c r="N27" s="585">
        <v>5101</v>
      </c>
      <c r="O27" s="585">
        <v>5117</v>
      </c>
      <c r="P27" s="585">
        <v>4654</v>
      </c>
      <c r="Q27" s="585">
        <v>4699</v>
      </c>
      <c r="R27" s="1292">
        <v>5036</v>
      </c>
      <c r="S27" s="585">
        <v>4399</v>
      </c>
      <c r="T27" s="585">
        <v>4055</v>
      </c>
      <c r="U27" s="1176">
        <v>3981</v>
      </c>
      <c r="V27" s="499"/>
      <c r="W27" s="499"/>
      <c r="X27" s="499"/>
      <c r="Y27" s="499"/>
      <c r="Z27" s="589"/>
      <c r="AA27" s="589"/>
      <c r="AB27" s="589"/>
    </row>
    <row r="28" spans="1:28">
      <c r="A28" s="498"/>
      <c r="B28" s="499"/>
      <c r="C28" s="580" t="s">
        <v>58</v>
      </c>
      <c r="D28" s="585">
        <v>18026</v>
      </c>
      <c r="E28" s="585">
        <v>20663</v>
      </c>
      <c r="F28" s="585">
        <v>20471</v>
      </c>
      <c r="G28" s="585">
        <v>20183</v>
      </c>
      <c r="H28" s="585">
        <v>19498</v>
      </c>
      <c r="I28" s="585">
        <v>16783</v>
      </c>
      <c r="J28" s="585">
        <v>17691</v>
      </c>
      <c r="K28" s="585">
        <v>22640</v>
      </c>
      <c r="L28" s="585">
        <v>21792</v>
      </c>
      <c r="M28" s="585">
        <v>19734</v>
      </c>
      <c r="N28" s="585">
        <v>18161</v>
      </c>
      <c r="O28" s="585">
        <v>18466</v>
      </c>
      <c r="P28" s="585">
        <v>17892</v>
      </c>
      <c r="Q28" s="585">
        <v>18438</v>
      </c>
      <c r="R28" s="1292">
        <v>21594</v>
      </c>
      <c r="S28" s="585">
        <v>22864</v>
      </c>
      <c r="T28" s="585">
        <v>21706</v>
      </c>
      <c r="U28" s="1176">
        <v>20091</v>
      </c>
      <c r="V28" s="499"/>
      <c r="W28" s="499"/>
      <c r="X28" s="499"/>
      <c r="Y28" s="499"/>
      <c r="Z28" s="589"/>
      <c r="AA28" s="589"/>
      <c r="AB28" s="589"/>
    </row>
    <row r="29" spans="1:28">
      <c r="A29" s="498"/>
      <c r="B29" s="499"/>
      <c r="C29" s="580" t="s">
        <v>59</v>
      </c>
      <c r="D29" s="585">
        <v>55281</v>
      </c>
      <c r="E29" s="585">
        <v>61587</v>
      </c>
      <c r="F29" s="585">
        <v>64140</v>
      </c>
      <c r="G29" s="585">
        <v>65057</v>
      </c>
      <c r="H29" s="585">
        <v>66408</v>
      </c>
      <c r="I29" s="585">
        <v>60409</v>
      </c>
      <c r="J29" s="585">
        <v>58948</v>
      </c>
      <c r="K29" s="585">
        <v>59246</v>
      </c>
      <c r="L29" s="585">
        <v>58833</v>
      </c>
      <c r="M29" s="585">
        <v>54996</v>
      </c>
      <c r="N29" s="585">
        <v>55350</v>
      </c>
      <c r="O29" s="585">
        <v>55271</v>
      </c>
      <c r="P29" s="585">
        <v>54087</v>
      </c>
      <c r="Q29" s="585">
        <v>52843</v>
      </c>
      <c r="R29" s="1292">
        <v>52131</v>
      </c>
      <c r="S29" s="585">
        <v>50203</v>
      </c>
      <c r="T29" s="585">
        <v>45786</v>
      </c>
      <c r="U29" s="1176">
        <v>42603</v>
      </c>
      <c r="V29" s="499"/>
      <c r="W29" s="499"/>
      <c r="X29" s="499"/>
      <c r="Y29" s="499"/>
      <c r="Z29" s="589"/>
      <c r="AA29" s="589"/>
      <c r="AB29" s="589"/>
    </row>
    <row r="30" spans="1:28">
      <c r="A30" s="498"/>
      <c r="B30" s="499"/>
      <c r="C30" s="582" t="s">
        <v>51</v>
      </c>
      <c r="D30" s="587">
        <v>3481</v>
      </c>
      <c r="E30" s="587">
        <v>4088</v>
      </c>
      <c r="F30" s="587">
        <v>4323</v>
      </c>
      <c r="G30" s="587">
        <v>3779</v>
      </c>
      <c r="H30" s="587">
        <v>4132</v>
      </c>
      <c r="I30" s="587">
        <v>6147</v>
      </c>
      <c r="J30" s="587">
        <v>3983</v>
      </c>
      <c r="K30" s="587">
        <v>6433</v>
      </c>
      <c r="L30" s="587">
        <v>6950</v>
      </c>
      <c r="M30" s="587">
        <v>6420</v>
      </c>
      <c r="N30" s="587">
        <v>6212</v>
      </c>
      <c r="O30" s="587">
        <v>7733</v>
      </c>
      <c r="P30" s="587">
        <v>7950</v>
      </c>
      <c r="Q30" s="587">
        <v>6253</v>
      </c>
      <c r="R30" s="1293">
        <v>6807</v>
      </c>
      <c r="S30" s="587">
        <v>6399</v>
      </c>
      <c r="T30" s="587">
        <v>5403</v>
      </c>
      <c r="U30" s="1176">
        <v>5112</v>
      </c>
      <c r="V30" s="499"/>
      <c r="W30" s="499"/>
      <c r="X30" s="499"/>
      <c r="Y30" s="499"/>
      <c r="Z30" s="589"/>
      <c r="AA30" s="589"/>
      <c r="AB30" s="589"/>
    </row>
    <row r="31" spans="1:28">
      <c r="A31" s="498"/>
      <c r="B31" s="499"/>
      <c r="C31" s="499" t="s">
        <v>52</v>
      </c>
      <c r="D31" s="589">
        <v>452904</v>
      </c>
      <c r="E31" s="589">
        <v>459533</v>
      </c>
      <c r="F31" s="589">
        <v>438310</v>
      </c>
      <c r="G31" s="589">
        <v>423268</v>
      </c>
      <c r="H31" s="589">
        <v>419043</v>
      </c>
      <c r="I31" s="589">
        <v>374216</v>
      </c>
      <c r="J31" s="589">
        <v>364531</v>
      </c>
      <c r="K31" s="589">
        <v>369055</v>
      </c>
      <c r="L31" s="589">
        <v>365967</v>
      </c>
      <c r="M31" s="589">
        <v>342331</v>
      </c>
      <c r="N31" s="589">
        <v>333709</v>
      </c>
      <c r="O31" s="589">
        <v>328351</v>
      </c>
      <c r="P31" s="589">
        <v>327333</v>
      </c>
      <c r="Q31" s="589">
        <f t="shared" ref="Q31" si="7">SUM(Q25:Q30)</f>
        <v>323441</v>
      </c>
      <c r="R31" s="1096">
        <f t="shared" ref="R31" si="8">SUM(R25:R30)</f>
        <v>319395</v>
      </c>
      <c r="S31" s="589">
        <f t="shared" ref="S31" si="9">SUM(S25:S30)</f>
        <v>307831</v>
      </c>
      <c r="T31" s="589">
        <v>281631</v>
      </c>
      <c r="U31" s="1174">
        <f>SUM(U25:U30)</f>
        <v>269576</v>
      </c>
      <c r="V31" s="499"/>
      <c r="W31" s="499"/>
      <c r="X31" s="499"/>
      <c r="Y31" s="499"/>
      <c r="Z31" s="589"/>
      <c r="AA31" s="589"/>
      <c r="AB31" s="589"/>
    </row>
    <row r="32" spans="1:28">
      <c r="A32" s="498"/>
      <c r="B32" s="579" t="s">
        <v>297</v>
      </c>
      <c r="C32" s="579" t="s">
        <v>127</v>
      </c>
      <c r="D32" s="583">
        <v>334205</v>
      </c>
      <c r="E32" s="583">
        <v>345901</v>
      </c>
      <c r="F32" s="583">
        <v>311358</v>
      </c>
      <c r="G32" s="583">
        <v>317941</v>
      </c>
      <c r="H32" s="583">
        <v>336920</v>
      </c>
      <c r="I32" s="583">
        <v>236894</v>
      </c>
      <c r="J32" s="583">
        <v>284714</v>
      </c>
      <c r="K32" s="583">
        <v>291832</v>
      </c>
      <c r="L32" s="583">
        <v>275999</v>
      </c>
      <c r="M32" s="583">
        <v>250696</v>
      </c>
      <c r="N32" s="583">
        <v>237140</v>
      </c>
      <c r="O32" s="583">
        <v>231165</v>
      </c>
      <c r="P32" s="583">
        <v>233145</v>
      </c>
      <c r="Q32" s="583">
        <v>243306</v>
      </c>
      <c r="R32" s="1291">
        <v>252557</v>
      </c>
      <c r="S32" s="583">
        <v>243255</v>
      </c>
      <c r="T32" s="1190">
        <v>222773</v>
      </c>
      <c r="U32" s="1171">
        <v>211976</v>
      </c>
      <c r="V32" s="499"/>
      <c r="W32" s="499"/>
      <c r="X32" s="499"/>
      <c r="Y32" s="499"/>
      <c r="Z32" s="589"/>
      <c r="AA32" s="589"/>
      <c r="AB32" s="589"/>
    </row>
    <row r="33" spans="1:28">
      <c r="A33" s="498"/>
      <c r="B33" s="499"/>
      <c r="C33" s="582" t="s">
        <v>51</v>
      </c>
      <c r="D33" s="587">
        <v>13431</v>
      </c>
      <c r="E33" s="587">
        <v>30899</v>
      </c>
      <c r="F33" s="587">
        <v>28245</v>
      </c>
      <c r="G33" s="587">
        <v>27706</v>
      </c>
      <c r="H33" s="587">
        <v>9815</v>
      </c>
      <c r="I33" s="587">
        <v>11801</v>
      </c>
      <c r="J33" s="587">
        <v>7688</v>
      </c>
      <c r="K33" s="587">
        <v>8956</v>
      </c>
      <c r="L33" s="587">
        <v>9646</v>
      </c>
      <c r="M33" s="587">
        <v>9526</v>
      </c>
      <c r="N33" s="587">
        <v>4635</v>
      </c>
      <c r="O33" s="587">
        <v>3569</v>
      </c>
      <c r="P33" s="587">
        <v>3716</v>
      </c>
      <c r="Q33" s="587">
        <v>3674</v>
      </c>
      <c r="R33" s="1293">
        <v>3102</v>
      </c>
      <c r="S33" s="587">
        <v>2751</v>
      </c>
      <c r="T33" s="1191">
        <v>2875</v>
      </c>
      <c r="U33" s="1176">
        <v>1843</v>
      </c>
      <c r="V33" s="499"/>
      <c r="W33" s="499"/>
      <c r="X33" s="499"/>
      <c r="Y33" s="499"/>
      <c r="Z33" s="589"/>
      <c r="AA33" s="589"/>
      <c r="AB33" s="589"/>
    </row>
    <row r="34" spans="1:28">
      <c r="A34" s="498"/>
      <c r="B34" s="502"/>
      <c r="C34" s="502" t="s">
        <v>52</v>
      </c>
      <c r="D34" s="590">
        <v>347636</v>
      </c>
      <c r="E34" s="590">
        <v>376800</v>
      </c>
      <c r="F34" s="590">
        <v>339603</v>
      </c>
      <c r="G34" s="590">
        <v>345647</v>
      </c>
      <c r="H34" s="590">
        <v>346735</v>
      </c>
      <c r="I34" s="590">
        <v>248695</v>
      </c>
      <c r="J34" s="590">
        <v>292402</v>
      </c>
      <c r="K34" s="590">
        <v>300788</v>
      </c>
      <c r="L34" s="590">
        <v>285645</v>
      </c>
      <c r="M34" s="590">
        <v>260222</v>
      </c>
      <c r="N34" s="590">
        <v>241775</v>
      </c>
      <c r="O34" s="590">
        <v>234734</v>
      </c>
      <c r="P34" s="590">
        <v>236861</v>
      </c>
      <c r="Q34" s="590">
        <v>246980</v>
      </c>
      <c r="R34" s="1294">
        <f t="shared" ref="R34" si="10">SUM(R32:R33)</f>
        <v>255659</v>
      </c>
      <c r="S34" s="590">
        <f t="shared" ref="S34" si="11">SUM(S32:S33)</f>
        <v>246006</v>
      </c>
      <c r="T34" s="1192">
        <v>225648</v>
      </c>
      <c r="U34" s="1174">
        <f>SUM(U32:U33)</f>
        <v>213819</v>
      </c>
      <c r="V34" s="499"/>
      <c r="W34" s="499"/>
      <c r="X34" s="499"/>
      <c r="Y34" s="499"/>
      <c r="Z34" s="589"/>
      <c r="AA34" s="589"/>
      <c r="AB34" s="589"/>
    </row>
    <row r="35" spans="1:28">
      <c r="A35" s="498"/>
      <c r="B35" s="499" t="s">
        <v>311</v>
      </c>
      <c r="C35" s="499" t="s">
        <v>127</v>
      </c>
      <c r="D35" s="589">
        <v>151959</v>
      </c>
      <c r="E35" s="589">
        <v>204459</v>
      </c>
      <c r="F35" s="589">
        <v>256342</v>
      </c>
      <c r="G35" s="589">
        <v>273103</v>
      </c>
      <c r="H35" s="589">
        <v>257395</v>
      </c>
      <c r="I35" s="589">
        <v>314030</v>
      </c>
      <c r="J35" s="589">
        <v>414312</v>
      </c>
      <c r="K35" s="589">
        <v>432109</v>
      </c>
      <c r="L35" s="589">
        <v>530905</v>
      </c>
      <c r="M35" s="589">
        <v>567820</v>
      </c>
      <c r="N35" s="589">
        <v>575932</v>
      </c>
      <c r="O35" s="589">
        <v>559566</v>
      </c>
      <c r="P35" s="589">
        <v>541763</v>
      </c>
      <c r="Q35" s="589">
        <v>561445</v>
      </c>
      <c r="R35" s="1096">
        <v>583610</v>
      </c>
      <c r="S35" s="589">
        <v>577127</v>
      </c>
      <c r="T35" s="589">
        <v>592814</v>
      </c>
      <c r="U35" s="1171">
        <v>595294</v>
      </c>
      <c r="V35" s="499"/>
      <c r="W35" s="499"/>
      <c r="X35" s="499"/>
      <c r="Y35" s="499"/>
      <c r="Z35" s="589"/>
      <c r="AA35" s="589"/>
      <c r="AB35" s="589"/>
    </row>
    <row r="36" spans="1:28">
      <c r="A36" s="498"/>
      <c r="B36" s="499"/>
      <c r="C36" s="580" t="s">
        <v>56</v>
      </c>
      <c r="D36" s="585">
        <v>6074</v>
      </c>
      <c r="E36" s="585">
        <v>8578</v>
      </c>
      <c r="F36" s="585">
        <v>11047</v>
      </c>
      <c r="G36" s="585">
        <v>12123</v>
      </c>
      <c r="H36" s="585">
        <v>12582</v>
      </c>
      <c r="I36" s="585">
        <v>12956</v>
      </c>
      <c r="J36" s="585">
        <v>13925</v>
      </c>
      <c r="K36" s="585">
        <v>15897</v>
      </c>
      <c r="L36" s="585">
        <v>17881</v>
      </c>
      <c r="M36" s="585">
        <v>19340</v>
      </c>
      <c r="N36" s="585">
        <v>20616</v>
      </c>
      <c r="O36" s="585">
        <v>21265</v>
      </c>
      <c r="P36" s="585">
        <v>22077</v>
      </c>
      <c r="Q36" s="585">
        <v>24074</v>
      </c>
      <c r="R36" s="1292">
        <v>24925</v>
      </c>
      <c r="S36" s="585">
        <v>26234</v>
      </c>
      <c r="T36" s="585">
        <v>26963</v>
      </c>
      <c r="U36" s="1176">
        <v>27822</v>
      </c>
      <c r="V36" s="499"/>
      <c r="W36" s="499"/>
      <c r="X36" s="499"/>
      <c r="Y36" s="499"/>
      <c r="Z36" s="589"/>
      <c r="AA36" s="589"/>
      <c r="AB36" s="589"/>
    </row>
    <row r="37" spans="1:28">
      <c r="A37" s="498"/>
      <c r="B37" s="499"/>
      <c r="C37" s="580" t="s">
        <v>121</v>
      </c>
      <c r="D37" s="585">
        <v>5777</v>
      </c>
      <c r="E37" s="585">
        <v>7267</v>
      </c>
      <c r="F37" s="585">
        <v>8382</v>
      </c>
      <c r="G37" s="585">
        <v>9247</v>
      </c>
      <c r="H37" s="585">
        <v>9513</v>
      </c>
      <c r="I37" s="585">
        <v>8311</v>
      </c>
      <c r="J37" s="585">
        <v>8875</v>
      </c>
      <c r="K37" s="585">
        <v>8992</v>
      </c>
      <c r="L37" s="585">
        <v>9801</v>
      </c>
      <c r="M37" s="585">
        <v>10797</v>
      </c>
      <c r="N37" s="585">
        <v>10552</v>
      </c>
      <c r="O37" s="585">
        <v>10166</v>
      </c>
      <c r="P37" s="585">
        <v>10119</v>
      </c>
      <c r="Q37" s="585">
        <v>10344</v>
      </c>
      <c r="R37" s="1292">
        <v>10559</v>
      </c>
      <c r="S37" s="585">
        <v>10591</v>
      </c>
      <c r="T37" s="585">
        <v>9971</v>
      </c>
      <c r="U37" s="1176">
        <v>10184</v>
      </c>
      <c r="V37" s="499"/>
      <c r="W37" s="499"/>
      <c r="X37" s="499"/>
      <c r="Y37" s="499"/>
      <c r="Z37" s="589"/>
      <c r="AA37" s="589"/>
      <c r="AB37" s="589"/>
    </row>
    <row r="38" spans="1:28">
      <c r="A38" s="498"/>
      <c r="B38" s="499"/>
      <c r="C38" s="580" t="s">
        <v>58</v>
      </c>
      <c r="D38" s="585">
        <v>7516</v>
      </c>
      <c r="E38" s="585">
        <v>10313</v>
      </c>
      <c r="F38" s="585">
        <v>12330</v>
      </c>
      <c r="G38" s="585">
        <v>12687</v>
      </c>
      <c r="H38" s="585">
        <v>13766</v>
      </c>
      <c r="I38" s="585">
        <v>13519</v>
      </c>
      <c r="J38" s="585">
        <v>16191</v>
      </c>
      <c r="K38" s="585">
        <v>16591</v>
      </c>
      <c r="L38" s="585">
        <v>20486</v>
      </c>
      <c r="M38" s="585">
        <v>21459</v>
      </c>
      <c r="N38" s="585">
        <v>22299</v>
      </c>
      <c r="O38" s="585">
        <v>21612</v>
      </c>
      <c r="P38" s="585">
        <v>21315</v>
      </c>
      <c r="Q38" s="585">
        <v>22470</v>
      </c>
      <c r="R38" s="1292">
        <v>23690</v>
      </c>
      <c r="S38" s="585">
        <v>26003</v>
      </c>
      <c r="T38" s="585">
        <v>26156</v>
      </c>
      <c r="U38" s="1176">
        <v>26919</v>
      </c>
      <c r="V38" s="499"/>
      <c r="W38" s="499"/>
      <c r="X38" s="499"/>
      <c r="Y38" s="499"/>
      <c r="Z38" s="589"/>
      <c r="AA38" s="589"/>
      <c r="AB38" s="589"/>
    </row>
    <row r="39" spans="1:28">
      <c r="A39" s="498"/>
      <c r="B39" s="499"/>
      <c r="C39" s="580" t="s">
        <v>59</v>
      </c>
      <c r="D39" s="585">
        <v>9531</v>
      </c>
      <c r="E39" s="585">
        <v>10407</v>
      </c>
      <c r="F39" s="585">
        <v>12699</v>
      </c>
      <c r="G39" s="585">
        <v>13737</v>
      </c>
      <c r="H39" s="585">
        <v>15988</v>
      </c>
      <c r="I39" s="585">
        <v>21573</v>
      </c>
      <c r="J39" s="585">
        <v>25069</v>
      </c>
      <c r="K39" s="585">
        <v>25938</v>
      </c>
      <c r="L39" s="585">
        <v>29853</v>
      </c>
      <c r="M39" s="585">
        <v>29971</v>
      </c>
      <c r="N39" s="585">
        <v>31341</v>
      </c>
      <c r="O39" s="585">
        <v>31088</v>
      </c>
      <c r="P39" s="585">
        <v>31934</v>
      </c>
      <c r="Q39" s="585">
        <v>33270</v>
      </c>
      <c r="R39" s="1292">
        <v>33191</v>
      </c>
      <c r="S39" s="585">
        <v>34232</v>
      </c>
      <c r="T39" s="585">
        <v>32522</v>
      </c>
      <c r="U39" s="1176">
        <v>32761</v>
      </c>
      <c r="V39" s="499"/>
      <c r="W39" s="499"/>
      <c r="X39" s="499"/>
      <c r="Y39" s="499"/>
      <c r="Z39" s="589"/>
      <c r="AA39" s="589"/>
      <c r="AB39" s="589"/>
    </row>
    <row r="40" spans="1:28">
      <c r="A40" s="498"/>
      <c r="B40" s="499"/>
      <c r="C40" s="582" t="s">
        <v>51</v>
      </c>
      <c r="D40" s="587">
        <v>3301</v>
      </c>
      <c r="E40" s="587">
        <v>5263</v>
      </c>
      <c r="F40" s="587">
        <v>6557</v>
      </c>
      <c r="G40" s="587">
        <v>5609</v>
      </c>
      <c r="H40" s="587">
        <v>6700</v>
      </c>
      <c r="I40" s="587">
        <v>4909</v>
      </c>
      <c r="J40" s="587">
        <v>9927</v>
      </c>
      <c r="K40" s="587">
        <v>16958</v>
      </c>
      <c r="L40" s="587">
        <v>20485</v>
      </c>
      <c r="M40" s="587">
        <v>23685</v>
      </c>
      <c r="N40" s="587">
        <v>22658</v>
      </c>
      <c r="O40" s="587">
        <v>18575</v>
      </c>
      <c r="P40" s="587">
        <v>19740</v>
      </c>
      <c r="Q40" s="587">
        <v>22511</v>
      </c>
      <c r="R40" s="1293">
        <v>22743</v>
      </c>
      <c r="S40" s="587">
        <v>23406</v>
      </c>
      <c r="T40" s="587">
        <v>21418</v>
      </c>
      <c r="U40" s="1176">
        <v>20480</v>
      </c>
      <c r="V40" s="499"/>
      <c r="W40" s="499"/>
      <c r="X40" s="499"/>
      <c r="Y40" s="499"/>
      <c r="Z40" s="589"/>
      <c r="AA40" s="589"/>
      <c r="AB40" s="589"/>
    </row>
    <row r="41" spans="1:28">
      <c r="A41" s="498"/>
      <c r="B41" s="499"/>
      <c r="C41" s="499" t="s">
        <v>52</v>
      </c>
      <c r="D41" s="589">
        <v>184158</v>
      </c>
      <c r="E41" s="589">
        <v>246287</v>
      </c>
      <c r="F41" s="589">
        <v>307357</v>
      </c>
      <c r="G41" s="589">
        <v>326506</v>
      </c>
      <c r="H41" s="589">
        <v>315944</v>
      </c>
      <c r="I41" s="589">
        <v>375298</v>
      </c>
      <c r="J41" s="589">
        <v>488299</v>
      </c>
      <c r="K41" s="589">
        <v>516485</v>
      </c>
      <c r="L41" s="589">
        <v>629411</v>
      </c>
      <c r="M41" s="589">
        <v>673072</v>
      </c>
      <c r="N41" s="589">
        <v>683398</v>
      </c>
      <c r="O41" s="589">
        <v>662272</v>
      </c>
      <c r="P41" s="589">
        <v>646948</v>
      </c>
      <c r="Q41" s="589">
        <f t="shared" ref="Q41" si="12">SUM(Q35:Q40)</f>
        <v>674114</v>
      </c>
      <c r="R41" s="1096">
        <f t="shared" ref="R41" si="13">SUM(R35:R40)</f>
        <v>698718</v>
      </c>
      <c r="S41" s="589">
        <f t="shared" ref="S41" si="14">SUM(S35:S40)</f>
        <v>697593</v>
      </c>
      <c r="T41" s="589">
        <v>709844</v>
      </c>
      <c r="U41" s="1174">
        <f>SUM(U35:U40)</f>
        <v>713460</v>
      </c>
      <c r="V41" s="1166"/>
      <c r="W41" s="499"/>
      <c r="X41" s="499"/>
      <c r="Y41" s="499"/>
      <c r="Z41" s="589"/>
      <c r="AA41" s="589"/>
      <c r="AB41" s="589"/>
    </row>
    <row r="42" spans="1:28">
      <c r="A42" s="501"/>
      <c r="B42" s="516" t="s">
        <v>52</v>
      </c>
      <c r="C42" s="516"/>
      <c r="D42" s="591">
        <v>984698</v>
      </c>
      <c r="E42" s="591">
        <v>1082620</v>
      </c>
      <c r="F42" s="591">
        <v>1085270</v>
      </c>
      <c r="G42" s="591">
        <v>1095421</v>
      </c>
      <c r="H42" s="591">
        <v>1081722</v>
      </c>
      <c r="I42" s="591">
        <v>998209</v>
      </c>
      <c r="J42" s="591">
        <v>1145232</v>
      </c>
      <c r="K42" s="591">
        <v>1186328</v>
      </c>
      <c r="L42" s="591">
        <v>1281023</v>
      </c>
      <c r="M42" s="591">
        <v>1275625</v>
      </c>
      <c r="N42" s="591">
        <v>1258882</v>
      </c>
      <c r="O42" s="591">
        <v>1225357</v>
      </c>
      <c r="P42" s="591">
        <v>1211142</v>
      </c>
      <c r="Q42" s="591">
        <v>1244535</v>
      </c>
      <c r="R42" s="1195">
        <f t="shared" ref="R42" si="15">R31+R34+R41</f>
        <v>1273772</v>
      </c>
      <c r="S42" s="591">
        <f t="shared" ref="S42" si="16">S31+S34+S41</f>
        <v>1251430</v>
      </c>
      <c r="T42" s="591">
        <v>1217123</v>
      </c>
      <c r="U42" s="1266">
        <f>U31+U34+U41</f>
        <v>1196855</v>
      </c>
      <c r="V42" s="953"/>
      <c r="W42" s="499"/>
      <c r="X42" s="499"/>
      <c r="Y42" s="499"/>
      <c r="Z42" s="589"/>
      <c r="AA42" s="589"/>
      <c r="AB42" s="589"/>
    </row>
    <row r="43" spans="1:28">
      <c r="A43" s="497" t="s">
        <v>57</v>
      </c>
      <c r="B43" s="579" t="s">
        <v>296</v>
      </c>
      <c r="C43" s="579" t="s">
        <v>127</v>
      </c>
      <c r="D43" s="583">
        <v>1233</v>
      </c>
      <c r="E43" s="583">
        <v>1166</v>
      </c>
      <c r="F43" s="583">
        <v>1291</v>
      </c>
      <c r="G43" s="583">
        <v>916</v>
      </c>
      <c r="H43" s="583">
        <v>1098</v>
      </c>
      <c r="I43" s="583">
        <v>703</v>
      </c>
      <c r="J43" s="583">
        <v>759</v>
      </c>
      <c r="K43" s="583">
        <v>1091</v>
      </c>
      <c r="L43" s="583">
        <v>1556</v>
      </c>
      <c r="M43" s="583">
        <v>1450</v>
      </c>
      <c r="N43" s="583">
        <v>1388</v>
      </c>
      <c r="O43" s="583">
        <v>1379</v>
      </c>
      <c r="P43" s="583">
        <v>1205</v>
      </c>
      <c r="Q43" s="583">
        <v>1177</v>
      </c>
      <c r="R43" s="1291">
        <v>1333</v>
      </c>
      <c r="S43" s="583">
        <v>1337</v>
      </c>
      <c r="T43" s="1189">
        <v>1713</v>
      </c>
      <c r="U43" s="1171">
        <v>1517</v>
      </c>
      <c r="V43" s="499"/>
      <c r="W43" s="499"/>
      <c r="X43" s="499"/>
      <c r="Y43" s="499"/>
      <c r="Z43" s="589"/>
      <c r="AA43" s="589"/>
      <c r="AB43" s="589"/>
    </row>
    <row r="44" spans="1:28">
      <c r="A44" s="498"/>
      <c r="B44" s="499"/>
      <c r="C44" s="580" t="s">
        <v>56</v>
      </c>
      <c r="D44" s="585">
        <v>4910</v>
      </c>
      <c r="E44" s="585">
        <v>5668</v>
      </c>
      <c r="F44" s="585">
        <v>5706</v>
      </c>
      <c r="G44" s="585">
        <v>4476</v>
      </c>
      <c r="H44" s="585">
        <v>3478</v>
      </c>
      <c r="I44" s="585">
        <v>2747</v>
      </c>
      <c r="J44" s="585">
        <v>2988</v>
      </c>
      <c r="K44" s="585">
        <v>3035</v>
      </c>
      <c r="L44" s="585">
        <v>3422</v>
      </c>
      <c r="M44" s="585">
        <v>3770</v>
      </c>
      <c r="N44" s="585">
        <v>3096</v>
      </c>
      <c r="O44" s="585">
        <v>2658</v>
      </c>
      <c r="P44" s="585">
        <v>2596</v>
      </c>
      <c r="Q44" s="585">
        <v>2125</v>
      </c>
      <c r="R44" s="1292">
        <v>2263</v>
      </c>
      <c r="S44" s="585">
        <v>2179</v>
      </c>
      <c r="T44" s="585">
        <v>2252</v>
      </c>
      <c r="U44" s="1176">
        <v>2406</v>
      </c>
      <c r="V44" s="499"/>
      <c r="W44" s="499"/>
      <c r="X44" s="499"/>
      <c r="Y44" s="499"/>
      <c r="Z44" s="589"/>
      <c r="AA44" s="589"/>
      <c r="AB44" s="589"/>
    </row>
    <row r="45" spans="1:28">
      <c r="A45" s="498"/>
      <c r="B45" s="499"/>
      <c r="C45" s="580" t="s">
        <v>121</v>
      </c>
      <c r="D45" s="585">
        <v>105027</v>
      </c>
      <c r="E45" s="585">
        <v>121942</v>
      </c>
      <c r="F45" s="585">
        <v>125249</v>
      </c>
      <c r="G45" s="585">
        <v>128438</v>
      </c>
      <c r="H45" s="585">
        <v>126691</v>
      </c>
      <c r="I45" s="585">
        <v>126988</v>
      </c>
      <c r="J45" s="585">
        <v>131461</v>
      </c>
      <c r="K45" s="585">
        <v>137671</v>
      </c>
      <c r="L45" s="585">
        <v>147694</v>
      </c>
      <c r="M45" s="585">
        <v>159248</v>
      </c>
      <c r="N45" s="585">
        <v>163185</v>
      </c>
      <c r="O45" s="585">
        <v>166376</v>
      </c>
      <c r="P45" s="585">
        <v>162297</v>
      </c>
      <c r="Q45" s="585">
        <v>158190</v>
      </c>
      <c r="R45" s="1292">
        <v>161646</v>
      </c>
      <c r="S45" s="585">
        <v>170377</v>
      </c>
      <c r="T45" s="585">
        <v>179500</v>
      </c>
      <c r="U45" s="1176">
        <v>184746</v>
      </c>
      <c r="V45" s="499"/>
      <c r="W45" s="499"/>
      <c r="X45" s="499"/>
      <c r="Y45" s="499"/>
      <c r="Z45" s="589"/>
      <c r="AA45" s="589"/>
      <c r="AB45" s="589"/>
    </row>
    <row r="46" spans="1:28">
      <c r="A46" s="498"/>
      <c r="B46" s="499"/>
      <c r="C46" s="580" t="s">
        <v>58</v>
      </c>
      <c r="D46" s="585">
        <v>4933</v>
      </c>
      <c r="E46" s="585">
        <v>6824</v>
      </c>
      <c r="F46" s="585">
        <v>7538</v>
      </c>
      <c r="G46" s="585">
        <v>6471</v>
      </c>
      <c r="H46" s="585">
        <v>5500</v>
      </c>
      <c r="I46" s="585">
        <v>3478</v>
      </c>
      <c r="J46" s="585">
        <v>4340</v>
      </c>
      <c r="K46" s="585">
        <v>5279</v>
      </c>
      <c r="L46" s="585">
        <v>5813</v>
      </c>
      <c r="M46" s="585">
        <v>7418</v>
      </c>
      <c r="N46" s="585">
        <v>7525</v>
      </c>
      <c r="O46" s="585">
        <v>8414</v>
      </c>
      <c r="P46" s="585">
        <v>8837</v>
      </c>
      <c r="Q46" s="585">
        <v>8144</v>
      </c>
      <c r="R46" s="1292">
        <v>8547</v>
      </c>
      <c r="S46" s="585">
        <v>9971</v>
      </c>
      <c r="T46" s="585">
        <v>10289</v>
      </c>
      <c r="U46" s="1176">
        <v>10909</v>
      </c>
      <c r="V46" s="499"/>
      <c r="W46" s="499"/>
      <c r="X46" s="499"/>
      <c r="Y46" s="499"/>
      <c r="Z46" s="589"/>
      <c r="AA46" s="589"/>
      <c r="AB46" s="589"/>
    </row>
    <row r="47" spans="1:28">
      <c r="A47" s="498"/>
      <c r="B47" s="499"/>
      <c r="C47" s="580" t="s">
        <v>59</v>
      </c>
      <c r="D47" s="585">
        <v>12892</v>
      </c>
      <c r="E47" s="585">
        <v>16310</v>
      </c>
      <c r="F47" s="585">
        <v>20627</v>
      </c>
      <c r="G47" s="585">
        <v>21408</v>
      </c>
      <c r="H47" s="585">
        <v>21174</v>
      </c>
      <c r="I47" s="585">
        <v>20602</v>
      </c>
      <c r="J47" s="585">
        <v>22134</v>
      </c>
      <c r="K47" s="585">
        <v>22985</v>
      </c>
      <c r="L47" s="585">
        <v>24189</v>
      </c>
      <c r="M47" s="585">
        <v>27387</v>
      </c>
      <c r="N47" s="585">
        <v>29379</v>
      </c>
      <c r="O47" s="585">
        <v>30426</v>
      </c>
      <c r="P47" s="585">
        <v>28393</v>
      </c>
      <c r="Q47" s="585">
        <v>26175</v>
      </c>
      <c r="R47" s="1292">
        <v>24071</v>
      </c>
      <c r="S47" s="585">
        <v>25328</v>
      </c>
      <c r="T47" s="585">
        <v>26027</v>
      </c>
      <c r="U47" s="1176">
        <v>25061</v>
      </c>
      <c r="V47" s="499"/>
      <c r="W47" s="499"/>
      <c r="X47" s="499"/>
      <c r="Y47" s="499"/>
      <c r="Z47" s="589"/>
      <c r="AA47" s="589"/>
      <c r="AB47" s="589"/>
    </row>
    <row r="48" spans="1:28">
      <c r="A48" s="498"/>
      <c r="B48" s="499"/>
      <c r="C48" s="582" t="s">
        <v>51</v>
      </c>
      <c r="D48" s="587">
        <v>564</v>
      </c>
      <c r="E48" s="587">
        <v>921</v>
      </c>
      <c r="F48" s="587">
        <v>991</v>
      </c>
      <c r="G48" s="587">
        <v>720</v>
      </c>
      <c r="H48" s="587">
        <v>836</v>
      </c>
      <c r="I48" s="587">
        <v>725</v>
      </c>
      <c r="J48" s="587">
        <v>471</v>
      </c>
      <c r="K48" s="587">
        <v>573</v>
      </c>
      <c r="L48" s="587">
        <v>777</v>
      </c>
      <c r="M48" s="587">
        <v>1326</v>
      </c>
      <c r="N48" s="587">
        <v>1327</v>
      </c>
      <c r="O48" s="587">
        <v>1988</v>
      </c>
      <c r="P48" s="587">
        <v>1807</v>
      </c>
      <c r="Q48" s="587">
        <v>1729</v>
      </c>
      <c r="R48" s="1293">
        <v>2370</v>
      </c>
      <c r="S48" s="587">
        <v>2439</v>
      </c>
      <c r="T48" s="587">
        <v>2491</v>
      </c>
      <c r="U48" s="1176">
        <v>2410</v>
      </c>
      <c r="V48" s="499"/>
      <c r="W48" s="499"/>
      <c r="X48" s="499"/>
      <c r="Y48" s="499"/>
      <c r="Z48" s="589"/>
      <c r="AA48" s="589"/>
      <c r="AB48" s="589"/>
    </row>
    <row r="49" spans="1:28">
      <c r="A49" s="498"/>
      <c r="B49" s="499"/>
      <c r="C49" s="499" t="s">
        <v>52</v>
      </c>
      <c r="D49" s="589">
        <v>129559</v>
      </c>
      <c r="E49" s="589">
        <v>152831</v>
      </c>
      <c r="F49" s="589">
        <v>161402</v>
      </c>
      <c r="G49" s="589">
        <v>162429</v>
      </c>
      <c r="H49" s="589">
        <v>158777</v>
      </c>
      <c r="I49" s="589">
        <v>155243</v>
      </c>
      <c r="J49" s="589">
        <v>162153</v>
      </c>
      <c r="K49" s="589">
        <v>170634</v>
      </c>
      <c r="L49" s="589">
        <v>183451</v>
      </c>
      <c r="M49" s="589">
        <v>200599</v>
      </c>
      <c r="N49" s="589">
        <v>205900</v>
      </c>
      <c r="O49" s="589">
        <v>211241</v>
      </c>
      <c r="P49" s="589">
        <v>205135</v>
      </c>
      <c r="Q49" s="589">
        <f t="shared" ref="Q49" si="17">SUM(Q43:Q48)</f>
        <v>197540</v>
      </c>
      <c r="R49" s="1096">
        <f t="shared" ref="R49" si="18">SUM(R43:R48)</f>
        <v>200230</v>
      </c>
      <c r="S49" s="589">
        <f t="shared" ref="S49" si="19">SUM(S43:S48)</f>
        <v>211631</v>
      </c>
      <c r="T49" s="589">
        <v>222272</v>
      </c>
      <c r="U49" s="1174">
        <f>SUM(U43:U48)</f>
        <v>227049</v>
      </c>
      <c r="V49" s="499"/>
      <c r="W49" s="499"/>
      <c r="X49" s="499"/>
      <c r="Y49" s="499"/>
      <c r="Z49" s="589"/>
      <c r="AA49" s="589"/>
      <c r="AB49" s="589"/>
    </row>
    <row r="50" spans="1:28">
      <c r="A50" s="498"/>
      <c r="B50" s="579" t="s">
        <v>297</v>
      </c>
      <c r="C50" s="579" t="s">
        <v>127</v>
      </c>
      <c r="D50" s="583">
        <v>65249</v>
      </c>
      <c r="E50" s="583">
        <v>96839</v>
      </c>
      <c r="F50" s="583">
        <v>105841</v>
      </c>
      <c r="G50" s="583">
        <v>103955</v>
      </c>
      <c r="H50" s="583">
        <v>77749</v>
      </c>
      <c r="I50" s="583">
        <v>69028</v>
      </c>
      <c r="J50" s="583">
        <v>93076</v>
      </c>
      <c r="K50" s="583">
        <v>103305</v>
      </c>
      <c r="L50" s="583">
        <v>106228</v>
      </c>
      <c r="M50" s="583">
        <v>131743</v>
      </c>
      <c r="N50" s="583">
        <v>124045</v>
      </c>
      <c r="O50" s="583">
        <v>130110</v>
      </c>
      <c r="P50" s="583">
        <v>118193</v>
      </c>
      <c r="Q50" s="583">
        <v>102378</v>
      </c>
      <c r="R50" s="1291">
        <v>99721</v>
      </c>
      <c r="S50" s="583">
        <v>121148</v>
      </c>
      <c r="T50" s="1190">
        <v>135607</v>
      </c>
      <c r="U50" s="1171">
        <v>132502</v>
      </c>
      <c r="V50" s="499"/>
      <c r="W50" s="499"/>
      <c r="X50" s="499"/>
      <c r="Y50" s="499"/>
      <c r="Z50" s="589"/>
      <c r="AA50" s="589"/>
      <c r="AB50" s="589"/>
    </row>
    <row r="51" spans="1:28">
      <c r="A51" s="498"/>
      <c r="B51" s="499"/>
      <c r="C51" s="582" t="s">
        <v>51</v>
      </c>
      <c r="D51" s="587">
        <v>2824</v>
      </c>
      <c r="E51" s="587">
        <v>8687</v>
      </c>
      <c r="F51" s="587">
        <v>9794</v>
      </c>
      <c r="G51" s="587">
        <v>9204</v>
      </c>
      <c r="H51" s="587">
        <v>2394</v>
      </c>
      <c r="I51" s="587">
        <v>3688</v>
      </c>
      <c r="J51" s="587">
        <v>3139</v>
      </c>
      <c r="K51" s="587">
        <v>3795</v>
      </c>
      <c r="L51" s="587">
        <v>3570</v>
      </c>
      <c r="M51" s="587">
        <v>4662</v>
      </c>
      <c r="N51" s="587">
        <v>1924</v>
      </c>
      <c r="O51" s="587">
        <v>1980</v>
      </c>
      <c r="P51" s="587">
        <v>1948</v>
      </c>
      <c r="Q51" s="587">
        <v>1567</v>
      </c>
      <c r="R51" s="1293">
        <v>930</v>
      </c>
      <c r="S51" s="587">
        <v>1152</v>
      </c>
      <c r="T51" s="1191">
        <v>2000</v>
      </c>
      <c r="U51" s="1176">
        <v>943</v>
      </c>
      <c r="V51" s="499"/>
      <c r="W51" s="499"/>
      <c r="X51" s="499"/>
      <c r="Y51" s="499"/>
      <c r="Z51" s="589"/>
      <c r="AA51" s="589"/>
      <c r="AB51" s="589"/>
    </row>
    <row r="52" spans="1:28">
      <c r="A52" s="498"/>
      <c r="B52" s="502"/>
      <c r="C52" s="502" t="s">
        <v>52</v>
      </c>
      <c r="D52" s="590">
        <v>68073</v>
      </c>
      <c r="E52" s="590">
        <v>105526</v>
      </c>
      <c r="F52" s="590">
        <v>115635</v>
      </c>
      <c r="G52" s="590">
        <v>113159</v>
      </c>
      <c r="H52" s="590">
        <v>80143</v>
      </c>
      <c r="I52" s="590">
        <v>72716</v>
      </c>
      <c r="J52" s="590">
        <v>96215</v>
      </c>
      <c r="K52" s="590">
        <v>107100</v>
      </c>
      <c r="L52" s="590">
        <v>109798</v>
      </c>
      <c r="M52" s="590">
        <v>136405</v>
      </c>
      <c r="N52" s="590">
        <v>125969</v>
      </c>
      <c r="O52" s="590">
        <v>132090</v>
      </c>
      <c r="P52" s="590">
        <v>120141</v>
      </c>
      <c r="Q52" s="590">
        <v>103945</v>
      </c>
      <c r="R52" s="1294">
        <f t="shared" ref="R52" si="20">SUM(R50:R51)</f>
        <v>100651</v>
      </c>
      <c r="S52" s="590">
        <f t="shared" ref="S52" si="21">SUM(S50:S51)</f>
        <v>122300</v>
      </c>
      <c r="T52" s="590">
        <v>137607</v>
      </c>
      <c r="U52" s="1174">
        <f>SUM(U50:U51)</f>
        <v>133445</v>
      </c>
      <c r="V52" s="499"/>
      <c r="W52" s="499"/>
      <c r="X52" s="499"/>
      <c r="Y52" s="499"/>
      <c r="Z52" s="589"/>
      <c r="AA52" s="589"/>
      <c r="AB52" s="589"/>
    </row>
    <row r="53" spans="1:28">
      <c r="A53" s="498"/>
      <c r="B53" s="499" t="s">
        <v>311</v>
      </c>
      <c r="C53" s="499" t="s">
        <v>127</v>
      </c>
      <c r="D53" s="589">
        <v>15107</v>
      </c>
      <c r="E53" s="589">
        <v>22484</v>
      </c>
      <c r="F53" s="589">
        <v>33779</v>
      </c>
      <c r="G53" s="589">
        <v>45560</v>
      </c>
      <c r="H53" s="589">
        <v>54478</v>
      </c>
      <c r="I53" s="589">
        <v>60888</v>
      </c>
      <c r="J53" s="589">
        <v>71527</v>
      </c>
      <c r="K53" s="589">
        <v>74809</v>
      </c>
      <c r="L53" s="589">
        <v>101474</v>
      </c>
      <c r="M53" s="589">
        <v>100826</v>
      </c>
      <c r="N53" s="589">
        <v>101919</v>
      </c>
      <c r="O53" s="589">
        <v>105523</v>
      </c>
      <c r="P53" s="589">
        <v>133353</v>
      </c>
      <c r="Q53" s="589">
        <v>135643</v>
      </c>
      <c r="R53" s="1096">
        <v>167878</v>
      </c>
      <c r="S53" s="589">
        <v>187002</v>
      </c>
      <c r="T53" s="589">
        <v>200142</v>
      </c>
      <c r="U53" s="1171">
        <v>217646</v>
      </c>
      <c r="V53" s="499"/>
      <c r="W53" s="499"/>
      <c r="X53" s="499"/>
      <c r="Y53" s="499"/>
      <c r="Z53" s="589"/>
      <c r="AA53" s="589"/>
      <c r="AB53" s="589"/>
    </row>
    <row r="54" spans="1:28">
      <c r="A54" s="498"/>
      <c r="B54" s="499"/>
      <c r="C54" s="580" t="s">
        <v>56</v>
      </c>
      <c r="D54" s="585">
        <v>871</v>
      </c>
      <c r="E54" s="585">
        <v>1177</v>
      </c>
      <c r="F54" s="585">
        <v>1514</v>
      </c>
      <c r="G54" s="585">
        <v>1871</v>
      </c>
      <c r="H54" s="585">
        <v>2121</v>
      </c>
      <c r="I54" s="585">
        <v>2035</v>
      </c>
      <c r="J54" s="585">
        <v>1884</v>
      </c>
      <c r="K54" s="585">
        <v>1972</v>
      </c>
      <c r="L54" s="585">
        <v>2286</v>
      </c>
      <c r="M54" s="585">
        <v>2364</v>
      </c>
      <c r="N54" s="585">
        <v>2586</v>
      </c>
      <c r="O54" s="585">
        <v>2564</v>
      </c>
      <c r="P54" s="585">
        <v>2620</v>
      </c>
      <c r="Q54" s="585">
        <v>2610</v>
      </c>
      <c r="R54" s="1292">
        <v>2807</v>
      </c>
      <c r="S54" s="585">
        <v>3455</v>
      </c>
      <c r="T54" s="585">
        <v>3629</v>
      </c>
      <c r="U54" s="1176">
        <v>3530</v>
      </c>
      <c r="V54" s="499"/>
      <c r="W54" s="499"/>
      <c r="X54" s="499"/>
      <c r="Y54" s="499"/>
      <c r="Z54" s="589"/>
      <c r="AA54" s="589"/>
      <c r="AB54" s="589"/>
    </row>
    <row r="55" spans="1:28">
      <c r="A55" s="498"/>
      <c r="B55" s="499"/>
      <c r="C55" s="580" t="s">
        <v>121</v>
      </c>
      <c r="D55" s="585">
        <v>223</v>
      </c>
      <c r="E55" s="585">
        <v>246</v>
      </c>
      <c r="F55" s="585">
        <v>227</v>
      </c>
      <c r="G55" s="585">
        <v>263</v>
      </c>
      <c r="H55" s="585">
        <v>423</v>
      </c>
      <c r="I55" s="585">
        <v>328</v>
      </c>
      <c r="J55" s="585">
        <v>344</v>
      </c>
      <c r="K55" s="585">
        <v>363</v>
      </c>
      <c r="L55" s="585">
        <v>442</v>
      </c>
      <c r="M55" s="585">
        <v>730</v>
      </c>
      <c r="N55" s="585">
        <v>888</v>
      </c>
      <c r="O55" s="585">
        <v>899</v>
      </c>
      <c r="P55" s="585">
        <v>1127</v>
      </c>
      <c r="Q55" s="585">
        <v>894</v>
      </c>
      <c r="R55" s="1292">
        <v>915</v>
      </c>
      <c r="S55" s="585">
        <v>1226</v>
      </c>
      <c r="T55" s="585">
        <v>977</v>
      </c>
      <c r="U55" s="1176">
        <v>1499</v>
      </c>
      <c r="V55" s="499"/>
      <c r="W55" s="499"/>
      <c r="X55" s="499"/>
      <c r="Y55" s="499"/>
      <c r="Z55" s="589"/>
      <c r="AA55" s="589"/>
      <c r="AB55" s="589"/>
    </row>
    <row r="56" spans="1:28">
      <c r="A56" s="498"/>
      <c r="B56" s="499"/>
      <c r="C56" s="580" t="s">
        <v>58</v>
      </c>
      <c r="D56" s="585">
        <v>925</v>
      </c>
      <c r="E56" s="585">
        <v>1307</v>
      </c>
      <c r="F56" s="585">
        <v>1649</v>
      </c>
      <c r="G56" s="585">
        <v>1996</v>
      </c>
      <c r="H56" s="585">
        <v>2522</v>
      </c>
      <c r="I56" s="585">
        <v>2431</v>
      </c>
      <c r="J56" s="585">
        <v>2838</v>
      </c>
      <c r="K56" s="585">
        <v>2850</v>
      </c>
      <c r="L56" s="585">
        <v>3172</v>
      </c>
      <c r="M56" s="585">
        <v>3448</v>
      </c>
      <c r="N56" s="585">
        <v>4003</v>
      </c>
      <c r="O56" s="585">
        <v>4493</v>
      </c>
      <c r="P56" s="585">
        <v>4927</v>
      </c>
      <c r="Q56" s="585">
        <v>5036</v>
      </c>
      <c r="R56" s="1292">
        <v>5328</v>
      </c>
      <c r="S56" s="585">
        <v>6048</v>
      </c>
      <c r="T56" s="585">
        <v>6436</v>
      </c>
      <c r="U56" s="1176">
        <v>6782</v>
      </c>
      <c r="V56" s="499"/>
      <c r="W56" s="499"/>
      <c r="X56" s="499"/>
      <c r="Y56" s="499"/>
      <c r="Z56" s="589"/>
      <c r="AA56" s="589"/>
      <c r="AB56" s="589"/>
    </row>
    <row r="57" spans="1:28">
      <c r="A57" s="498"/>
      <c r="B57" s="499"/>
      <c r="C57" s="580" t="s">
        <v>59</v>
      </c>
      <c r="D57" s="585">
        <v>754</v>
      </c>
      <c r="E57" s="585">
        <v>907</v>
      </c>
      <c r="F57" s="585">
        <v>1058</v>
      </c>
      <c r="G57" s="585">
        <v>1568</v>
      </c>
      <c r="H57" s="585">
        <v>2410</v>
      </c>
      <c r="I57" s="585">
        <v>3348</v>
      </c>
      <c r="J57" s="585">
        <v>3906</v>
      </c>
      <c r="K57" s="585">
        <v>4304</v>
      </c>
      <c r="L57" s="585">
        <v>5292</v>
      </c>
      <c r="M57" s="585">
        <v>6112</v>
      </c>
      <c r="N57" s="585">
        <v>7365</v>
      </c>
      <c r="O57" s="585">
        <v>7779</v>
      </c>
      <c r="P57" s="585">
        <v>8948</v>
      </c>
      <c r="Q57" s="585">
        <v>9390</v>
      </c>
      <c r="R57" s="1292">
        <v>9890</v>
      </c>
      <c r="S57" s="585">
        <v>11096</v>
      </c>
      <c r="T57" s="585">
        <v>11463</v>
      </c>
      <c r="U57" s="1176">
        <v>11848</v>
      </c>
      <c r="V57" s="499"/>
      <c r="W57" s="499"/>
      <c r="X57" s="499"/>
      <c r="Y57" s="499"/>
      <c r="Z57" s="589"/>
      <c r="AA57" s="589"/>
      <c r="AB57" s="589"/>
    </row>
    <row r="58" spans="1:28">
      <c r="A58" s="498"/>
      <c r="B58" s="499"/>
      <c r="C58" s="582" t="s">
        <v>51</v>
      </c>
      <c r="D58" s="587">
        <v>868</v>
      </c>
      <c r="E58" s="587">
        <v>1059</v>
      </c>
      <c r="F58" s="587">
        <v>2034</v>
      </c>
      <c r="G58" s="587">
        <v>1616</v>
      </c>
      <c r="H58" s="587">
        <v>1538</v>
      </c>
      <c r="I58" s="587">
        <v>1011</v>
      </c>
      <c r="J58" s="587">
        <v>1685</v>
      </c>
      <c r="K58" s="587">
        <v>2498</v>
      </c>
      <c r="L58" s="587">
        <v>3271</v>
      </c>
      <c r="M58" s="587">
        <v>3720</v>
      </c>
      <c r="N58" s="587">
        <v>3423</v>
      </c>
      <c r="O58" s="587">
        <v>4547</v>
      </c>
      <c r="P58" s="587">
        <v>4061</v>
      </c>
      <c r="Q58" s="587">
        <v>4669</v>
      </c>
      <c r="R58" s="1293">
        <v>5530</v>
      </c>
      <c r="S58" s="587">
        <v>6902</v>
      </c>
      <c r="T58" s="587">
        <v>6915</v>
      </c>
      <c r="U58" s="1176">
        <v>7328</v>
      </c>
      <c r="V58" s="499"/>
      <c r="W58" s="499"/>
      <c r="X58" s="499"/>
      <c r="Y58" s="499"/>
      <c r="Z58" s="589"/>
      <c r="AA58" s="589"/>
      <c r="AB58" s="589"/>
    </row>
    <row r="59" spans="1:28">
      <c r="A59" s="498"/>
      <c r="B59" s="499"/>
      <c r="C59" s="499" t="s">
        <v>52</v>
      </c>
      <c r="D59" s="589">
        <v>18748</v>
      </c>
      <c r="E59" s="589">
        <v>27180</v>
      </c>
      <c r="F59" s="589">
        <v>40261</v>
      </c>
      <c r="G59" s="589">
        <v>52874</v>
      </c>
      <c r="H59" s="589">
        <v>63492</v>
      </c>
      <c r="I59" s="589">
        <v>70041</v>
      </c>
      <c r="J59" s="589">
        <v>82184</v>
      </c>
      <c r="K59" s="589">
        <v>86796</v>
      </c>
      <c r="L59" s="589">
        <v>115937</v>
      </c>
      <c r="M59" s="589">
        <v>117200</v>
      </c>
      <c r="N59" s="589">
        <v>120184</v>
      </c>
      <c r="O59" s="589">
        <v>125805</v>
      </c>
      <c r="P59" s="589">
        <v>155036</v>
      </c>
      <c r="Q59" s="589">
        <f t="shared" ref="Q59" si="22">SUM(Q53:Q58)</f>
        <v>158242</v>
      </c>
      <c r="R59" s="1096">
        <f t="shared" ref="R59" si="23">SUM(R53:R58)</f>
        <v>192348</v>
      </c>
      <c r="S59" s="589">
        <f t="shared" ref="S59" si="24">SUM(S53:S58)</f>
        <v>215729</v>
      </c>
      <c r="T59" s="589">
        <v>229562</v>
      </c>
      <c r="U59" s="1174">
        <f>SUM(U53:U58)</f>
        <v>248633</v>
      </c>
      <c r="V59" s="1265"/>
      <c r="W59" s="499"/>
      <c r="X59" s="499"/>
      <c r="Y59" s="499"/>
      <c r="Z59" s="589"/>
      <c r="AA59" s="589"/>
      <c r="AB59" s="589"/>
    </row>
    <row r="60" spans="1:28">
      <c r="A60" s="501"/>
      <c r="B60" s="516" t="s">
        <v>52</v>
      </c>
      <c r="C60" s="516"/>
      <c r="D60" s="591">
        <v>216380</v>
      </c>
      <c r="E60" s="591">
        <v>285537</v>
      </c>
      <c r="F60" s="591">
        <v>317298</v>
      </c>
      <c r="G60" s="591">
        <v>328462</v>
      </c>
      <c r="H60" s="591">
        <v>302412</v>
      </c>
      <c r="I60" s="591">
        <v>298000</v>
      </c>
      <c r="J60" s="591">
        <v>340552</v>
      </c>
      <c r="K60" s="591">
        <v>364530</v>
      </c>
      <c r="L60" s="591">
        <v>409186</v>
      </c>
      <c r="M60" s="591">
        <v>454204</v>
      </c>
      <c r="N60" s="591">
        <v>452053</v>
      </c>
      <c r="O60" s="591">
        <v>469136</v>
      </c>
      <c r="P60" s="591">
        <v>480312</v>
      </c>
      <c r="Q60" s="591">
        <v>459727</v>
      </c>
      <c r="R60" s="1195">
        <f t="shared" ref="R60" si="25">R49+R52+R59</f>
        <v>493229</v>
      </c>
      <c r="S60" s="591">
        <f t="shared" ref="S60" si="26">S49+S52+S59</f>
        <v>549660</v>
      </c>
      <c r="T60" s="591">
        <v>589441</v>
      </c>
      <c r="U60" s="1266">
        <f>U49+U52+U59</f>
        <v>609127</v>
      </c>
      <c r="V60" s="953"/>
      <c r="W60" s="499"/>
      <c r="X60" s="499"/>
      <c r="Y60" s="499"/>
      <c r="Z60" s="589"/>
      <c r="AA60" s="589"/>
      <c r="AB60" s="589"/>
    </row>
    <row r="61" spans="1:28">
      <c r="A61" s="497" t="s">
        <v>58</v>
      </c>
      <c r="B61" s="579" t="s">
        <v>296</v>
      </c>
      <c r="C61" s="579" t="s">
        <v>127</v>
      </c>
      <c r="D61" s="583">
        <v>105</v>
      </c>
      <c r="E61" s="583">
        <v>93</v>
      </c>
      <c r="F61" s="583">
        <v>219</v>
      </c>
      <c r="G61" s="583">
        <v>245</v>
      </c>
      <c r="H61" s="583">
        <v>271</v>
      </c>
      <c r="I61" s="583">
        <v>237</v>
      </c>
      <c r="J61" s="583">
        <v>208</v>
      </c>
      <c r="K61" s="583">
        <v>206</v>
      </c>
      <c r="L61" s="583">
        <v>249</v>
      </c>
      <c r="M61" s="583">
        <v>400</v>
      </c>
      <c r="N61" s="583">
        <v>733</v>
      </c>
      <c r="O61" s="583">
        <v>1044</v>
      </c>
      <c r="P61" s="583">
        <v>1252</v>
      </c>
      <c r="Q61" s="583">
        <v>1850</v>
      </c>
      <c r="R61" s="1291">
        <v>1475</v>
      </c>
      <c r="S61" s="583">
        <v>1538</v>
      </c>
      <c r="T61" s="1189">
        <v>3152</v>
      </c>
      <c r="U61" s="1171">
        <v>2752</v>
      </c>
      <c r="V61" s="499"/>
      <c r="W61" s="499"/>
      <c r="X61" s="499"/>
      <c r="Y61" s="499"/>
      <c r="Z61" s="589"/>
      <c r="AA61" s="589"/>
      <c r="AB61" s="589"/>
    </row>
    <row r="62" spans="1:28">
      <c r="A62" s="498"/>
      <c r="B62" s="499"/>
      <c r="C62" s="580" t="s">
        <v>56</v>
      </c>
      <c r="D62" s="585">
        <v>112</v>
      </c>
      <c r="E62" s="585">
        <v>156</v>
      </c>
      <c r="F62" s="585">
        <v>221</v>
      </c>
      <c r="G62" s="585">
        <v>269</v>
      </c>
      <c r="H62" s="585">
        <v>311</v>
      </c>
      <c r="I62" s="585">
        <v>393</v>
      </c>
      <c r="J62" s="585">
        <v>424</v>
      </c>
      <c r="K62" s="585">
        <v>447</v>
      </c>
      <c r="L62" s="585">
        <v>561</v>
      </c>
      <c r="M62" s="585">
        <v>630</v>
      </c>
      <c r="N62" s="585">
        <v>752</v>
      </c>
      <c r="O62" s="585">
        <v>635</v>
      </c>
      <c r="P62" s="585">
        <v>675</v>
      </c>
      <c r="Q62" s="585">
        <v>808</v>
      </c>
      <c r="R62" s="1292">
        <v>1736</v>
      </c>
      <c r="S62" s="585">
        <v>3056</v>
      </c>
      <c r="T62" s="585">
        <v>3076</v>
      </c>
      <c r="U62" s="1176">
        <v>2505</v>
      </c>
      <c r="V62" s="499"/>
      <c r="W62" s="499"/>
      <c r="X62" s="499"/>
      <c r="Y62" s="499"/>
      <c r="Z62" s="589"/>
      <c r="AA62" s="589"/>
      <c r="AB62" s="589"/>
    </row>
    <row r="63" spans="1:28">
      <c r="A63" s="498"/>
      <c r="B63" s="499"/>
      <c r="C63" s="580" t="s">
        <v>121</v>
      </c>
      <c r="D63" s="585">
        <v>48</v>
      </c>
      <c r="E63" s="585">
        <v>34</v>
      </c>
      <c r="F63" s="585">
        <v>50</v>
      </c>
      <c r="G63" s="585">
        <v>82</v>
      </c>
      <c r="H63" s="585">
        <v>161</v>
      </c>
      <c r="I63" s="585">
        <v>128</v>
      </c>
      <c r="J63" s="585">
        <v>116</v>
      </c>
      <c r="K63" s="585">
        <v>167</v>
      </c>
      <c r="L63" s="585">
        <v>196</v>
      </c>
      <c r="M63" s="585">
        <v>224</v>
      </c>
      <c r="N63" s="585">
        <v>354</v>
      </c>
      <c r="O63" s="585">
        <v>378</v>
      </c>
      <c r="P63" s="585">
        <v>541</v>
      </c>
      <c r="Q63" s="585">
        <v>500</v>
      </c>
      <c r="R63" s="1292">
        <v>599</v>
      </c>
      <c r="S63" s="585">
        <v>609</v>
      </c>
      <c r="T63" s="585">
        <v>639</v>
      </c>
      <c r="U63" s="1176">
        <v>1281</v>
      </c>
      <c r="V63" s="499"/>
      <c r="W63" s="499"/>
      <c r="X63" s="499"/>
      <c r="Y63" s="499"/>
      <c r="Z63" s="589"/>
      <c r="AA63" s="589"/>
      <c r="AB63" s="589"/>
    </row>
    <row r="64" spans="1:28">
      <c r="A64" s="498"/>
      <c r="B64" s="499"/>
      <c r="C64" s="580" t="s">
        <v>58</v>
      </c>
      <c r="D64" s="585">
        <v>65586</v>
      </c>
      <c r="E64" s="585">
        <v>93172</v>
      </c>
      <c r="F64" s="585">
        <v>121968</v>
      </c>
      <c r="G64" s="585">
        <v>152299</v>
      </c>
      <c r="H64" s="585">
        <v>194005</v>
      </c>
      <c r="I64" s="585">
        <v>228456</v>
      </c>
      <c r="J64" s="585">
        <v>291960</v>
      </c>
      <c r="K64" s="585">
        <v>413540</v>
      </c>
      <c r="L64" s="585">
        <v>533245</v>
      </c>
      <c r="M64" s="585">
        <v>702013</v>
      </c>
      <c r="N64" s="585">
        <v>798074</v>
      </c>
      <c r="O64" s="585">
        <v>965137</v>
      </c>
      <c r="P64" s="585">
        <v>1200383</v>
      </c>
      <c r="Q64" s="585">
        <v>1245128</v>
      </c>
      <c r="R64" s="1292">
        <v>1393195</v>
      </c>
      <c r="S64" s="585">
        <v>1242826</v>
      </c>
      <c r="T64" s="585">
        <v>1344166</v>
      </c>
      <c r="U64" s="1176">
        <v>1425749</v>
      </c>
      <c r="V64" s="499"/>
      <c r="W64" s="499"/>
      <c r="X64" s="499"/>
      <c r="Y64" s="499"/>
      <c r="Z64" s="589"/>
      <c r="AA64" s="589"/>
      <c r="AB64" s="589"/>
    </row>
    <row r="65" spans="1:28">
      <c r="A65" s="498"/>
      <c r="B65" s="499"/>
      <c r="C65" s="580" t="s">
        <v>59</v>
      </c>
      <c r="D65" s="585">
        <v>1443</v>
      </c>
      <c r="E65" s="585">
        <v>1858</v>
      </c>
      <c r="F65" s="585">
        <v>3346</v>
      </c>
      <c r="G65" s="585">
        <v>3333</v>
      </c>
      <c r="H65" s="585">
        <v>3732</v>
      </c>
      <c r="I65" s="585">
        <v>5830</v>
      </c>
      <c r="J65" s="585">
        <v>6321</v>
      </c>
      <c r="K65" s="585">
        <v>7090</v>
      </c>
      <c r="L65" s="585">
        <v>8179</v>
      </c>
      <c r="M65" s="585">
        <v>9689</v>
      </c>
      <c r="N65" s="585">
        <v>10827</v>
      </c>
      <c r="O65" s="585">
        <v>11852</v>
      </c>
      <c r="P65" s="585">
        <v>15416</v>
      </c>
      <c r="Q65" s="585">
        <v>16581</v>
      </c>
      <c r="R65" s="1292">
        <v>19874</v>
      </c>
      <c r="S65" s="585">
        <v>22950</v>
      </c>
      <c r="T65" s="585">
        <v>25230</v>
      </c>
      <c r="U65" s="1176">
        <v>28410</v>
      </c>
      <c r="V65" s="499"/>
      <c r="W65" s="499"/>
      <c r="X65" s="499"/>
      <c r="Y65" s="499"/>
      <c r="Z65" s="589"/>
      <c r="AA65" s="589"/>
      <c r="AB65" s="589"/>
    </row>
    <row r="66" spans="1:28">
      <c r="A66" s="498"/>
      <c r="B66" s="499"/>
      <c r="C66" s="582" t="s">
        <v>51</v>
      </c>
      <c r="D66" s="587">
        <v>158</v>
      </c>
      <c r="E66" s="587">
        <v>226</v>
      </c>
      <c r="F66" s="587">
        <v>439</v>
      </c>
      <c r="G66" s="587">
        <v>511</v>
      </c>
      <c r="H66" s="587">
        <v>612</v>
      </c>
      <c r="I66" s="587">
        <v>664</v>
      </c>
      <c r="J66" s="587">
        <v>714</v>
      </c>
      <c r="K66" s="587">
        <v>898</v>
      </c>
      <c r="L66" s="587">
        <v>1034</v>
      </c>
      <c r="M66" s="587">
        <v>1353</v>
      </c>
      <c r="N66" s="587">
        <v>1874</v>
      </c>
      <c r="O66" s="587">
        <v>1917</v>
      </c>
      <c r="P66" s="587">
        <v>2381</v>
      </c>
      <c r="Q66" s="587">
        <v>2772</v>
      </c>
      <c r="R66" s="1293">
        <v>4017</v>
      </c>
      <c r="S66" s="587">
        <v>3772</v>
      </c>
      <c r="T66" s="587">
        <v>9058</v>
      </c>
      <c r="U66" s="1176">
        <v>11353</v>
      </c>
      <c r="V66" s="499"/>
      <c r="W66" s="499"/>
      <c r="X66" s="499"/>
      <c r="Y66" s="499"/>
      <c r="Z66" s="589"/>
      <c r="AA66" s="589"/>
      <c r="AB66" s="589"/>
    </row>
    <row r="67" spans="1:28">
      <c r="A67" s="498"/>
      <c r="B67" s="499"/>
      <c r="C67" s="499" t="s">
        <v>52</v>
      </c>
      <c r="D67" s="589">
        <v>67452</v>
      </c>
      <c r="E67" s="589">
        <v>95539</v>
      </c>
      <c r="F67" s="589">
        <v>126243</v>
      </c>
      <c r="G67" s="589">
        <v>156739</v>
      </c>
      <c r="H67" s="589">
        <v>199092</v>
      </c>
      <c r="I67" s="589">
        <v>235708</v>
      </c>
      <c r="J67" s="589">
        <v>299743</v>
      </c>
      <c r="K67" s="589">
        <v>422348</v>
      </c>
      <c r="L67" s="589">
        <v>543464</v>
      </c>
      <c r="M67" s="589">
        <v>714309</v>
      </c>
      <c r="N67" s="589">
        <v>812614</v>
      </c>
      <c r="O67" s="589">
        <v>980963</v>
      </c>
      <c r="P67" s="589">
        <v>1220648</v>
      </c>
      <c r="Q67" s="589">
        <f t="shared" ref="Q67" si="27">SUM(Q61:Q66)</f>
        <v>1267639</v>
      </c>
      <c r="R67" s="1096">
        <f t="shared" ref="R67" si="28">SUM(R61:R66)</f>
        <v>1420896</v>
      </c>
      <c r="S67" s="589">
        <f>SUM(S61:S66)</f>
        <v>1274751</v>
      </c>
      <c r="T67" s="1193">
        <v>1385321</v>
      </c>
      <c r="U67" s="1174">
        <f>SUM(U61:U66)</f>
        <v>1472050</v>
      </c>
      <c r="V67" s="499"/>
      <c r="W67" s="499"/>
      <c r="X67" s="499"/>
      <c r="Y67" s="499"/>
      <c r="Z67" s="589"/>
      <c r="AA67" s="589"/>
      <c r="AB67" s="589"/>
    </row>
    <row r="68" spans="1:28">
      <c r="A68" s="498"/>
      <c r="B68" s="579" t="s">
        <v>297</v>
      </c>
      <c r="C68" s="579" t="s">
        <v>127</v>
      </c>
      <c r="D68" s="583">
        <v>5090</v>
      </c>
      <c r="E68" s="583">
        <v>6331</v>
      </c>
      <c r="F68" s="583">
        <v>8947</v>
      </c>
      <c r="G68" s="583">
        <v>12835</v>
      </c>
      <c r="H68" s="583">
        <v>12934</v>
      </c>
      <c r="I68" s="583">
        <v>12669</v>
      </c>
      <c r="J68" s="583">
        <v>16366</v>
      </c>
      <c r="K68" s="583">
        <v>19601</v>
      </c>
      <c r="L68" s="583">
        <v>20199</v>
      </c>
      <c r="M68" s="583">
        <v>32211</v>
      </c>
      <c r="N68" s="583">
        <v>32556</v>
      </c>
      <c r="O68" s="583">
        <v>39324</v>
      </c>
      <c r="P68" s="583">
        <v>62439</v>
      </c>
      <c r="Q68" s="583">
        <v>73669</v>
      </c>
      <c r="R68" s="1291">
        <v>87182</v>
      </c>
      <c r="S68" s="583">
        <v>99912</v>
      </c>
      <c r="T68" s="1190">
        <v>100559</v>
      </c>
      <c r="U68" s="1171">
        <v>129487</v>
      </c>
      <c r="V68" s="499"/>
      <c r="W68" s="499"/>
      <c r="X68" s="499"/>
      <c r="Y68" s="499"/>
      <c r="Z68" s="589"/>
      <c r="AA68" s="589"/>
      <c r="AB68" s="589"/>
    </row>
    <row r="69" spans="1:28">
      <c r="A69" s="498"/>
      <c r="B69" s="499"/>
      <c r="C69" s="582" t="s">
        <v>51</v>
      </c>
      <c r="D69" s="587">
        <v>235</v>
      </c>
      <c r="E69" s="587">
        <v>576</v>
      </c>
      <c r="F69" s="587">
        <v>824</v>
      </c>
      <c r="G69" s="587">
        <v>1159</v>
      </c>
      <c r="H69" s="587">
        <v>379</v>
      </c>
      <c r="I69" s="587">
        <v>570</v>
      </c>
      <c r="J69" s="587">
        <v>566</v>
      </c>
      <c r="K69" s="587">
        <v>678</v>
      </c>
      <c r="L69" s="587">
        <v>687</v>
      </c>
      <c r="M69" s="587">
        <v>1189</v>
      </c>
      <c r="N69" s="587">
        <v>2150</v>
      </c>
      <c r="O69" s="587">
        <v>962</v>
      </c>
      <c r="P69" s="587">
        <v>1643</v>
      </c>
      <c r="Q69" s="587">
        <v>1319</v>
      </c>
      <c r="R69" s="1293">
        <v>1894</v>
      </c>
      <c r="S69" s="587">
        <v>1999</v>
      </c>
      <c r="T69" s="1191">
        <v>2420</v>
      </c>
      <c r="U69" s="1176">
        <v>1272</v>
      </c>
      <c r="V69" s="499"/>
      <c r="W69" s="499"/>
      <c r="X69" s="499"/>
      <c r="Y69" s="499"/>
      <c r="Z69" s="589"/>
      <c r="AA69" s="589"/>
      <c r="AB69" s="589"/>
    </row>
    <row r="70" spans="1:28">
      <c r="A70" s="498"/>
      <c r="B70" s="502"/>
      <c r="C70" s="502" t="s">
        <v>52</v>
      </c>
      <c r="D70" s="590">
        <v>5325</v>
      </c>
      <c r="E70" s="590">
        <v>6907</v>
      </c>
      <c r="F70" s="590">
        <v>9771</v>
      </c>
      <c r="G70" s="590">
        <v>13994</v>
      </c>
      <c r="H70" s="590">
        <v>13313</v>
      </c>
      <c r="I70" s="590">
        <v>13239</v>
      </c>
      <c r="J70" s="590">
        <v>16932</v>
      </c>
      <c r="K70" s="590">
        <v>20279</v>
      </c>
      <c r="L70" s="590">
        <v>20886</v>
      </c>
      <c r="M70" s="590">
        <v>33400</v>
      </c>
      <c r="N70" s="590">
        <v>34706</v>
      </c>
      <c r="O70" s="590">
        <v>40286</v>
      </c>
      <c r="P70" s="590">
        <v>64082</v>
      </c>
      <c r="Q70" s="590">
        <v>74988</v>
      </c>
      <c r="R70" s="1294">
        <f t="shared" ref="R70" si="29">SUM(R68:R69)</f>
        <v>89076</v>
      </c>
      <c r="S70" s="590">
        <f t="shared" ref="S70" si="30">SUM(S68:S69)</f>
        <v>101911</v>
      </c>
      <c r="T70" s="1192">
        <v>102979</v>
      </c>
      <c r="U70" s="1174">
        <f>SUM(U68:U69)</f>
        <v>130759</v>
      </c>
      <c r="V70" s="499"/>
      <c r="W70" s="499"/>
      <c r="X70" s="499"/>
      <c r="Y70" s="499"/>
      <c r="Z70" s="589"/>
      <c r="AA70" s="589"/>
      <c r="AB70" s="589"/>
    </row>
    <row r="71" spans="1:28">
      <c r="A71" s="498"/>
      <c r="B71" s="499" t="s">
        <v>311</v>
      </c>
      <c r="C71" s="499" t="s">
        <v>127</v>
      </c>
      <c r="D71" s="589">
        <v>5495</v>
      </c>
      <c r="E71" s="589">
        <v>9129</v>
      </c>
      <c r="F71" s="589">
        <v>12429</v>
      </c>
      <c r="G71" s="589">
        <v>23097</v>
      </c>
      <c r="H71" s="589">
        <v>36095</v>
      </c>
      <c r="I71" s="589">
        <v>41842</v>
      </c>
      <c r="J71" s="589">
        <v>54564</v>
      </c>
      <c r="K71" s="589">
        <v>71878</v>
      </c>
      <c r="L71" s="589">
        <v>114514</v>
      </c>
      <c r="M71" s="589">
        <v>118315</v>
      </c>
      <c r="N71" s="589">
        <v>140520</v>
      </c>
      <c r="O71" s="589">
        <v>172748</v>
      </c>
      <c r="P71" s="589">
        <v>201657</v>
      </c>
      <c r="Q71" s="589">
        <v>246505</v>
      </c>
      <c r="R71" s="1096">
        <v>264428</v>
      </c>
      <c r="S71" s="589">
        <v>353331</v>
      </c>
      <c r="T71" s="589">
        <v>397466</v>
      </c>
      <c r="U71" s="1171">
        <v>486384</v>
      </c>
      <c r="V71" s="499"/>
      <c r="W71" s="499"/>
      <c r="X71" s="499"/>
      <c r="Y71" s="499"/>
      <c r="Z71" s="589"/>
      <c r="AA71" s="589"/>
      <c r="AB71" s="589"/>
    </row>
    <row r="72" spans="1:28">
      <c r="A72" s="498"/>
      <c r="B72" s="499"/>
      <c r="C72" s="580" t="s">
        <v>56</v>
      </c>
      <c r="D72" s="585">
        <v>143</v>
      </c>
      <c r="E72" s="585">
        <v>241</v>
      </c>
      <c r="F72" s="585">
        <v>284</v>
      </c>
      <c r="G72" s="585">
        <v>397</v>
      </c>
      <c r="H72" s="585">
        <v>461</v>
      </c>
      <c r="I72" s="585">
        <v>498</v>
      </c>
      <c r="J72" s="585">
        <v>639</v>
      </c>
      <c r="K72" s="585">
        <v>954</v>
      </c>
      <c r="L72" s="585">
        <v>1461</v>
      </c>
      <c r="M72" s="585">
        <v>1434</v>
      </c>
      <c r="N72" s="585">
        <v>1779</v>
      </c>
      <c r="O72" s="585">
        <v>2205</v>
      </c>
      <c r="P72" s="585">
        <v>3135</v>
      </c>
      <c r="Q72" s="585">
        <v>3364</v>
      </c>
      <c r="R72" s="1292">
        <v>3589</v>
      </c>
      <c r="S72" s="585">
        <v>4891</v>
      </c>
      <c r="T72" s="585">
        <v>5330</v>
      </c>
      <c r="U72" s="1176">
        <v>6864</v>
      </c>
      <c r="V72" s="499"/>
      <c r="W72" s="499"/>
      <c r="X72" s="499"/>
      <c r="Y72" s="499"/>
      <c r="Z72" s="589"/>
      <c r="AA72" s="589"/>
      <c r="AB72" s="589"/>
    </row>
    <row r="73" spans="1:28">
      <c r="A73" s="498"/>
      <c r="B73" s="499"/>
      <c r="C73" s="580" t="s">
        <v>121</v>
      </c>
      <c r="D73" s="585">
        <v>81</v>
      </c>
      <c r="E73" s="585">
        <v>114</v>
      </c>
      <c r="F73" s="585">
        <v>147</v>
      </c>
      <c r="G73" s="585">
        <v>214</v>
      </c>
      <c r="H73" s="585">
        <v>320</v>
      </c>
      <c r="I73" s="585">
        <v>298</v>
      </c>
      <c r="J73" s="585">
        <v>401</v>
      </c>
      <c r="K73" s="585">
        <v>585</v>
      </c>
      <c r="L73" s="585">
        <v>786</v>
      </c>
      <c r="M73" s="585">
        <v>923</v>
      </c>
      <c r="N73" s="585">
        <v>1218</v>
      </c>
      <c r="O73" s="585">
        <v>1569</v>
      </c>
      <c r="P73" s="585">
        <v>2288</v>
      </c>
      <c r="Q73" s="585">
        <v>2515</v>
      </c>
      <c r="R73" s="1292">
        <v>2541</v>
      </c>
      <c r="S73" s="585">
        <v>3114</v>
      </c>
      <c r="T73" s="585">
        <v>3643</v>
      </c>
      <c r="U73" s="1176">
        <v>5019</v>
      </c>
      <c r="V73" s="499"/>
      <c r="W73" s="499"/>
      <c r="X73" s="499"/>
      <c r="Y73" s="499"/>
      <c r="Z73" s="589"/>
      <c r="AA73" s="589"/>
      <c r="AB73" s="589"/>
    </row>
    <row r="74" spans="1:28">
      <c r="A74" s="498"/>
      <c r="B74" s="499"/>
      <c r="C74" s="580" t="s">
        <v>58</v>
      </c>
      <c r="D74" s="585">
        <v>200</v>
      </c>
      <c r="E74" s="585">
        <v>313</v>
      </c>
      <c r="F74" s="585">
        <v>350</v>
      </c>
      <c r="G74" s="585">
        <v>761</v>
      </c>
      <c r="H74" s="585">
        <v>574</v>
      </c>
      <c r="I74" s="585">
        <v>640</v>
      </c>
      <c r="J74" s="585">
        <v>1107</v>
      </c>
      <c r="K74" s="585">
        <v>2289</v>
      </c>
      <c r="L74" s="585">
        <v>2068</v>
      </c>
      <c r="M74" s="585">
        <v>2923</v>
      </c>
      <c r="N74" s="585">
        <v>3061</v>
      </c>
      <c r="O74" s="585">
        <v>3115</v>
      </c>
      <c r="P74" s="585">
        <v>4598</v>
      </c>
      <c r="Q74" s="585">
        <v>581</v>
      </c>
      <c r="R74" s="1292">
        <v>620</v>
      </c>
      <c r="S74" s="585">
        <v>742</v>
      </c>
      <c r="T74" s="585">
        <v>651</v>
      </c>
      <c r="U74" s="1176">
        <v>895</v>
      </c>
      <c r="V74" s="499"/>
      <c r="W74" s="499"/>
      <c r="X74" s="499"/>
      <c r="Y74" s="499"/>
      <c r="Z74" s="589"/>
      <c r="AA74" s="589"/>
      <c r="AB74" s="589"/>
    </row>
    <row r="75" spans="1:28">
      <c r="A75" s="498"/>
      <c r="B75" s="499"/>
      <c r="C75" s="580" t="s">
        <v>59</v>
      </c>
      <c r="D75" s="585">
        <v>212</v>
      </c>
      <c r="E75" s="585">
        <v>269</v>
      </c>
      <c r="F75" s="585">
        <v>422</v>
      </c>
      <c r="G75" s="585">
        <v>570</v>
      </c>
      <c r="H75" s="585">
        <v>723</v>
      </c>
      <c r="I75" s="585">
        <v>1049</v>
      </c>
      <c r="J75" s="585">
        <v>1841</v>
      </c>
      <c r="K75" s="585">
        <v>3455</v>
      </c>
      <c r="L75" s="585">
        <v>5094</v>
      </c>
      <c r="M75" s="585">
        <v>5404</v>
      </c>
      <c r="N75" s="585">
        <v>7213</v>
      </c>
      <c r="O75" s="585">
        <v>9534</v>
      </c>
      <c r="P75" s="585">
        <v>10610</v>
      </c>
      <c r="Q75" s="585">
        <v>13093</v>
      </c>
      <c r="R75" s="1292">
        <v>12741</v>
      </c>
      <c r="S75" s="585">
        <v>16105</v>
      </c>
      <c r="T75" s="585">
        <v>15980</v>
      </c>
      <c r="U75" s="1176">
        <v>17432</v>
      </c>
      <c r="V75" s="499"/>
      <c r="W75" s="499"/>
      <c r="X75" s="499"/>
      <c r="Y75" s="499"/>
      <c r="Z75" s="589"/>
      <c r="AA75" s="589"/>
      <c r="AB75" s="589"/>
    </row>
    <row r="76" spans="1:28">
      <c r="A76" s="498"/>
      <c r="B76" s="499"/>
      <c r="C76" s="582" t="s">
        <v>51</v>
      </c>
      <c r="D76" s="587">
        <v>306</v>
      </c>
      <c r="E76" s="587">
        <v>388</v>
      </c>
      <c r="F76" s="587">
        <v>546</v>
      </c>
      <c r="G76" s="587">
        <v>559</v>
      </c>
      <c r="H76" s="587">
        <v>699</v>
      </c>
      <c r="I76" s="587">
        <v>507</v>
      </c>
      <c r="J76" s="587">
        <v>1369</v>
      </c>
      <c r="K76" s="587">
        <v>3430</v>
      </c>
      <c r="L76" s="587">
        <v>4664</v>
      </c>
      <c r="M76" s="587">
        <v>4857</v>
      </c>
      <c r="N76" s="587">
        <v>7632</v>
      </c>
      <c r="O76" s="587">
        <v>7310</v>
      </c>
      <c r="P76" s="587">
        <v>8888</v>
      </c>
      <c r="Q76" s="587">
        <v>10516</v>
      </c>
      <c r="R76" s="1293">
        <v>11080</v>
      </c>
      <c r="S76" s="587">
        <v>17595</v>
      </c>
      <c r="T76" s="587">
        <v>18124</v>
      </c>
      <c r="U76" s="1176">
        <v>19276</v>
      </c>
      <c r="V76" s="499"/>
      <c r="W76" s="499"/>
      <c r="X76" s="499"/>
      <c r="Y76" s="499"/>
      <c r="Z76" s="589"/>
      <c r="AA76" s="589"/>
      <c r="AB76" s="589"/>
    </row>
    <row r="77" spans="1:28">
      <c r="A77" s="498"/>
      <c r="B77" s="499"/>
      <c r="C77" s="499" t="s">
        <v>52</v>
      </c>
      <c r="D77" s="589">
        <v>6437</v>
      </c>
      <c r="E77" s="589">
        <v>10454</v>
      </c>
      <c r="F77" s="589">
        <v>14178</v>
      </c>
      <c r="G77" s="589">
        <v>25598</v>
      </c>
      <c r="H77" s="589">
        <v>38872</v>
      </c>
      <c r="I77" s="589">
        <v>44834</v>
      </c>
      <c r="J77" s="589">
        <v>59921</v>
      </c>
      <c r="K77" s="589">
        <v>82591</v>
      </c>
      <c r="L77" s="589">
        <v>128587</v>
      </c>
      <c r="M77" s="589">
        <v>133856</v>
      </c>
      <c r="N77" s="589">
        <v>161423</v>
      </c>
      <c r="O77" s="589">
        <v>196481</v>
      </c>
      <c r="P77" s="589">
        <v>231176</v>
      </c>
      <c r="Q77" s="589">
        <f t="shared" ref="Q77" si="31">SUM(Q71:Q76)</f>
        <v>276574</v>
      </c>
      <c r="R77" s="1096">
        <f t="shared" ref="R77" si="32">SUM(R71:R76)</f>
        <v>294999</v>
      </c>
      <c r="S77" s="589">
        <f t="shared" ref="S77" si="33">SUM(S71:S76)</f>
        <v>395778</v>
      </c>
      <c r="T77" s="589">
        <v>441194</v>
      </c>
      <c r="U77" s="1174">
        <f>SUM(U71:U76)</f>
        <v>535870</v>
      </c>
      <c r="V77" s="1269"/>
      <c r="W77" s="499"/>
      <c r="X77" s="499"/>
      <c r="Y77" s="499"/>
      <c r="Z77" s="589"/>
      <c r="AA77" s="589"/>
      <c r="AB77" s="589"/>
    </row>
    <row r="78" spans="1:28">
      <c r="A78" s="501"/>
      <c r="B78" s="516" t="s">
        <v>52</v>
      </c>
      <c r="C78" s="516"/>
      <c r="D78" s="591">
        <v>79214</v>
      </c>
      <c r="E78" s="591">
        <v>112900</v>
      </c>
      <c r="F78" s="591">
        <v>150192</v>
      </c>
      <c r="G78" s="591">
        <v>196331</v>
      </c>
      <c r="H78" s="591">
        <v>251277</v>
      </c>
      <c r="I78" s="591">
        <v>293781</v>
      </c>
      <c r="J78" s="591">
        <v>376596</v>
      </c>
      <c r="K78" s="591">
        <v>525218</v>
      </c>
      <c r="L78" s="591">
        <v>692937</v>
      </c>
      <c r="M78" s="591">
        <v>881565</v>
      </c>
      <c r="N78" s="591">
        <v>1008743</v>
      </c>
      <c r="O78" s="591">
        <v>1217730</v>
      </c>
      <c r="P78" s="591">
        <v>1515906</v>
      </c>
      <c r="Q78" s="591">
        <v>1619201</v>
      </c>
      <c r="R78" s="1195">
        <f t="shared" ref="R78" si="34">R67+R70+R77</f>
        <v>1804971</v>
      </c>
      <c r="S78" s="591">
        <f t="shared" ref="S78" si="35">S67+S70+S77</f>
        <v>1772440</v>
      </c>
      <c r="T78" s="591">
        <v>1929494</v>
      </c>
      <c r="U78" s="1266">
        <f>U67+U70+U77</f>
        <v>2138679</v>
      </c>
      <c r="V78" s="498"/>
      <c r="W78" s="499"/>
      <c r="X78" s="499"/>
      <c r="Y78" s="499"/>
      <c r="Z78" s="589"/>
      <c r="AA78" s="589"/>
      <c r="AB78" s="589"/>
    </row>
    <row r="79" spans="1:28">
      <c r="A79" s="497" t="s">
        <v>59</v>
      </c>
      <c r="B79" s="579" t="s">
        <v>296</v>
      </c>
      <c r="C79" s="579" t="s">
        <v>127</v>
      </c>
      <c r="D79" s="583">
        <v>7043</v>
      </c>
      <c r="E79" s="583">
        <v>7087</v>
      </c>
      <c r="F79" s="583">
        <v>5663</v>
      </c>
      <c r="G79" s="583">
        <v>5495</v>
      </c>
      <c r="H79" s="583">
        <v>5623</v>
      </c>
      <c r="I79" s="583">
        <v>4919</v>
      </c>
      <c r="J79" s="583">
        <v>5323</v>
      </c>
      <c r="K79" s="583">
        <v>6422</v>
      </c>
      <c r="L79" s="583">
        <v>6956</v>
      </c>
      <c r="M79" s="583">
        <v>6897</v>
      </c>
      <c r="N79" s="583">
        <v>6783</v>
      </c>
      <c r="O79" s="583">
        <v>6905</v>
      </c>
      <c r="P79" s="583">
        <v>7363</v>
      </c>
      <c r="Q79" s="583">
        <v>7446</v>
      </c>
      <c r="R79" s="1291">
        <v>7126</v>
      </c>
      <c r="S79" s="583">
        <v>6319</v>
      </c>
      <c r="T79" s="1189">
        <v>6235</v>
      </c>
      <c r="U79" s="1171">
        <v>7165</v>
      </c>
      <c r="V79" s="498"/>
      <c r="W79" s="499"/>
      <c r="X79" s="499"/>
      <c r="Y79" s="499"/>
      <c r="Z79" s="589"/>
      <c r="AA79" s="589"/>
      <c r="AB79" s="589"/>
    </row>
    <row r="80" spans="1:28">
      <c r="A80" s="498"/>
      <c r="B80" s="499"/>
      <c r="C80" s="580" t="s">
        <v>56</v>
      </c>
      <c r="D80" s="585">
        <v>8045</v>
      </c>
      <c r="E80" s="585">
        <v>8069</v>
      </c>
      <c r="F80" s="585">
        <v>7482</v>
      </c>
      <c r="G80" s="585">
        <v>7689</v>
      </c>
      <c r="H80" s="585">
        <v>7394</v>
      </c>
      <c r="I80" s="585">
        <v>7285</v>
      </c>
      <c r="J80" s="585">
        <v>8143</v>
      </c>
      <c r="K80" s="585">
        <v>8787</v>
      </c>
      <c r="L80" s="585">
        <v>9019</v>
      </c>
      <c r="M80" s="585">
        <v>9753</v>
      </c>
      <c r="N80" s="585">
        <v>10577</v>
      </c>
      <c r="O80" s="585">
        <v>9598</v>
      </c>
      <c r="P80" s="585">
        <v>9305</v>
      </c>
      <c r="Q80" s="585">
        <v>9002</v>
      </c>
      <c r="R80" s="1292">
        <v>8713</v>
      </c>
      <c r="S80" s="585">
        <v>8543</v>
      </c>
      <c r="T80" s="585">
        <v>7795</v>
      </c>
      <c r="U80" s="1176">
        <v>8845</v>
      </c>
      <c r="V80" s="498"/>
      <c r="W80" s="499"/>
      <c r="X80" s="499"/>
      <c r="Y80" s="499"/>
      <c r="Z80" s="589"/>
      <c r="AA80" s="589"/>
      <c r="AB80" s="589"/>
    </row>
    <row r="81" spans="1:28">
      <c r="A81" s="498"/>
      <c r="B81" s="499"/>
      <c r="C81" s="580" t="s">
        <v>121</v>
      </c>
      <c r="D81" s="585">
        <v>2306</v>
      </c>
      <c r="E81" s="585">
        <v>2754</v>
      </c>
      <c r="F81" s="585">
        <v>1922</v>
      </c>
      <c r="G81" s="585">
        <v>1871</v>
      </c>
      <c r="H81" s="585">
        <v>1665</v>
      </c>
      <c r="I81" s="585">
        <v>1438</v>
      </c>
      <c r="J81" s="585">
        <v>1556</v>
      </c>
      <c r="K81" s="585">
        <v>1613</v>
      </c>
      <c r="L81" s="585">
        <v>1729</v>
      </c>
      <c r="M81" s="585">
        <v>1931</v>
      </c>
      <c r="N81" s="585">
        <v>1853</v>
      </c>
      <c r="O81" s="585">
        <v>1846</v>
      </c>
      <c r="P81" s="585">
        <v>1715</v>
      </c>
      <c r="Q81" s="585">
        <v>1563</v>
      </c>
      <c r="R81" s="1292">
        <v>1582</v>
      </c>
      <c r="S81" s="585">
        <v>1658</v>
      </c>
      <c r="T81" s="585">
        <v>1651</v>
      </c>
      <c r="U81" s="1176">
        <v>1664</v>
      </c>
      <c r="V81" s="498"/>
      <c r="W81" s="499"/>
      <c r="X81" s="499"/>
      <c r="Y81" s="499"/>
      <c r="Z81" s="589"/>
      <c r="AA81" s="589"/>
      <c r="AB81" s="589"/>
    </row>
    <row r="82" spans="1:28">
      <c r="A82" s="498"/>
      <c r="B82" s="499"/>
      <c r="C82" s="580" t="s">
        <v>58</v>
      </c>
      <c r="D82" s="585">
        <v>4588</v>
      </c>
      <c r="E82" s="585">
        <v>6469</v>
      </c>
      <c r="F82" s="585">
        <v>6077</v>
      </c>
      <c r="G82" s="585">
        <v>8280</v>
      </c>
      <c r="H82" s="585">
        <v>6754</v>
      </c>
      <c r="I82" s="585">
        <v>6125</v>
      </c>
      <c r="J82" s="585">
        <v>7731</v>
      </c>
      <c r="K82" s="585">
        <v>11133</v>
      </c>
      <c r="L82" s="585">
        <v>11678</v>
      </c>
      <c r="M82" s="585">
        <v>11973</v>
      </c>
      <c r="N82" s="585">
        <v>12340</v>
      </c>
      <c r="O82" s="585">
        <v>12628</v>
      </c>
      <c r="P82" s="585">
        <v>14283</v>
      </c>
      <c r="Q82" s="585">
        <v>13784</v>
      </c>
      <c r="R82" s="1292">
        <v>15428</v>
      </c>
      <c r="S82" s="585">
        <v>15376</v>
      </c>
      <c r="T82" s="585">
        <v>14587</v>
      </c>
      <c r="U82" s="1176">
        <v>16749</v>
      </c>
      <c r="V82" s="498"/>
      <c r="W82" s="499"/>
      <c r="X82" s="499"/>
      <c r="Y82" s="499"/>
      <c r="Z82" s="589"/>
      <c r="AA82" s="589"/>
      <c r="AB82" s="589"/>
    </row>
    <row r="83" spans="1:28">
      <c r="A83" s="498"/>
      <c r="B83" s="499"/>
      <c r="C83" s="580" t="s">
        <v>59</v>
      </c>
      <c r="D83" s="585">
        <v>185008</v>
      </c>
      <c r="E83" s="585">
        <v>202776</v>
      </c>
      <c r="F83" s="585">
        <v>215904</v>
      </c>
      <c r="G83" s="585">
        <v>234043</v>
      </c>
      <c r="H83" s="585">
        <v>223045</v>
      </c>
      <c r="I83" s="585">
        <v>213093</v>
      </c>
      <c r="J83" s="585">
        <v>227907</v>
      </c>
      <c r="K83" s="585">
        <v>231630</v>
      </c>
      <c r="L83" s="585">
        <v>250617</v>
      </c>
      <c r="M83" s="585">
        <v>264923</v>
      </c>
      <c r="N83" s="585">
        <v>260984</v>
      </c>
      <c r="O83" s="585">
        <v>260274</v>
      </c>
      <c r="P83" s="585">
        <v>264685</v>
      </c>
      <c r="Q83" s="585">
        <v>260824</v>
      </c>
      <c r="R83" s="1292">
        <v>250372</v>
      </c>
      <c r="S83" s="585">
        <v>248498</v>
      </c>
      <c r="T83" s="585">
        <v>232914</v>
      </c>
      <c r="U83" s="1176">
        <v>224805</v>
      </c>
      <c r="V83" s="498"/>
      <c r="W83" s="499"/>
      <c r="X83" s="499"/>
      <c r="Y83" s="499"/>
      <c r="Z83" s="589"/>
      <c r="AA83" s="589"/>
      <c r="AB83" s="589"/>
    </row>
    <row r="84" spans="1:28">
      <c r="A84" s="498"/>
      <c r="B84" s="499"/>
      <c r="C84" s="582" t="s">
        <v>51</v>
      </c>
      <c r="D84" s="587">
        <v>11103</v>
      </c>
      <c r="E84" s="587">
        <v>17614</v>
      </c>
      <c r="F84" s="587">
        <v>18309</v>
      </c>
      <c r="G84" s="587">
        <v>16228</v>
      </c>
      <c r="H84" s="587">
        <v>17251</v>
      </c>
      <c r="I84" s="587">
        <v>14672</v>
      </c>
      <c r="J84" s="587">
        <v>15618</v>
      </c>
      <c r="K84" s="587">
        <v>19668</v>
      </c>
      <c r="L84" s="587">
        <v>22889</v>
      </c>
      <c r="M84" s="587">
        <v>24047</v>
      </c>
      <c r="N84" s="587">
        <v>23016</v>
      </c>
      <c r="O84" s="587">
        <v>24568</v>
      </c>
      <c r="P84" s="587">
        <v>27609</v>
      </c>
      <c r="Q84" s="587">
        <v>23608</v>
      </c>
      <c r="R84" s="1293">
        <v>22581</v>
      </c>
      <c r="S84" s="587">
        <v>23261</v>
      </c>
      <c r="T84" s="587">
        <v>21607</v>
      </c>
      <c r="U84" s="1176">
        <v>23355</v>
      </c>
      <c r="V84" s="498"/>
      <c r="W84" s="499"/>
      <c r="X84" s="499"/>
      <c r="Y84" s="499"/>
      <c r="Z84" s="589"/>
      <c r="AA84" s="589"/>
      <c r="AB84" s="589"/>
    </row>
    <row r="85" spans="1:28">
      <c r="A85" s="498"/>
      <c r="B85" s="499"/>
      <c r="C85" s="499" t="s">
        <v>52</v>
      </c>
      <c r="D85" s="589">
        <v>218093</v>
      </c>
      <c r="E85" s="589">
        <v>244769</v>
      </c>
      <c r="F85" s="589">
        <v>255357</v>
      </c>
      <c r="G85" s="589">
        <v>273606</v>
      </c>
      <c r="H85" s="589">
        <v>261732</v>
      </c>
      <c r="I85" s="589">
        <v>247532</v>
      </c>
      <c r="J85" s="589">
        <v>266278</v>
      </c>
      <c r="K85" s="589">
        <v>279253</v>
      </c>
      <c r="L85" s="589">
        <v>302888</v>
      </c>
      <c r="M85" s="589">
        <v>319524</v>
      </c>
      <c r="N85" s="589">
        <v>315553</v>
      </c>
      <c r="O85" s="589">
        <v>315819</v>
      </c>
      <c r="P85" s="589">
        <v>324960</v>
      </c>
      <c r="Q85" s="589">
        <f t="shared" ref="Q85" si="36">SUM(Q79:Q84)</f>
        <v>316227</v>
      </c>
      <c r="R85" s="1096">
        <f t="shared" ref="R85" si="37">SUM(R79:R84)</f>
        <v>305802</v>
      </c>
      <c r="S85" s="589">
        <f t="shared" ref="S85" si="38">SUM(S79:S84)</f>
        <v>303655</v>
      </c>
      <c r="T85" s="589">
        <v>284789</v>
      </c>
      <c r="U85" s="1174">
        <f>SUM(U79:U84)</f>
        <v>282583</v>
      </c>
      <c r="V85" s="498"/>
      <c r="W85" s="499"/>
      <c r="X85" s="499"/>
      <c r="Y85" s="499"/>
      <c r="Z85" s="589"/>
      <c r="AA85" s="589"/>
      <c r="AB85" s="589"/>
    </row>
    <row r="86" spans="1:28">
      <c r="A86" s="498"/>
      <c r="B86" s="579" t="s">
        <v>297</v>
      </c>
      <c r="C86" s="579" t="s">
        <v>127</v>
      </c>
      <c r="D86" s="583">
        <v>276240</v>
      </c>
      <c r="E86" s="583">
        <v>308889</v>
      </c>
      <c r="F86" s="583">
        <v>276641</v>
      </c>
      <c r="G86" s="583">
        <v>272474</v>
      </c>
      <c r="H86" s="583">
        <v>295222</v>
      </c>
      <c r="I86" s="583">
        <v>252009</v>
      </c>
      <c r="J86" s="583">
        <v>462711</v>
      </c>
      <c r="K86" s="583">
        <v>375715</v>
      </c>
      <c r="L86" s="583">
        <v>393859</v>
      </c>
      <c r="M86" s="583">
        <v>341204</v>
      </c>
      <c r="N86" s="583">
        <v>328903</v>
      </c>
      <c r="O86" s="583">
        <v>356905</v>
      </c>
      <c r="P86" s="583">
        <v>435942</v>
      </c>
      <c r="Q86" s="583">
        <v>474577</v>
      </c>
      <c r="R86" s="1291">
        <v>534819</v>
      </c>
      <c r="S86" s="583">
        <v>598771</v>
      </c>
      <c r="T86" s="1190">
        <v>542809</v>
      </c>
      <c r="U86" s="1171">
        <v>529776</v>
      </c>
      <c r="V86" s="498"/>
      <c r="W86" s="499"/>
      <c r="X86" s="499"/>
      <c r="Y86" s="499"/>
      <c r="Z86" s="589"/>
      <c r="AA86" s="589"/>
      <c r="AB86" s="589"/>
    </row>
    <row r="87" spans="1:28">
      <c r="A87" s="498"/>
      <c r="B87" s="499"/>
      <c r="C87" s="582" t="s">
        <v>51</v>
      </c>
      <c r="D87" s="587">
        <v>10609</v>
      </c>
      <c r="E87" s="587">
        <v>25498</v>
      </c>
      <c r="F87" s="587">
        <v>22908</v>
      </c>
      <c r="G87" s="587">
        <v>21720</v>
      </c>
      <c r="H87" s="587">
        <v>8118</v>
      </c>
      <c r="I87" s="587">
        <v>11441</v>
      </c>
      <c r="J87" s="587">
        <v>9130</v>
      </c>
      <c r="K87" s="587">
        <v>10232</v>
      </c>
      <c r="L87" s="587">
        <v>16183</v>
      </c>
      <c r="M87" s="587">
        <v>16285</v>
      </c>
      <c r="N87" s="587">
        <v>13475</v>
      </c>
      <c r="O87" s="587">
        <v>8654</v>
      </c>
      <c r="P87" s="587">
        <v>10535</v>
      </c>
      <c r="Q87" s="587">
        <v>10669</v>
      </c>
      <c r="R87" s="1293">
        <v>10807</v>
      </c>
      <c r="S87" s="587">
        <v>13148</v>
      </c>
      <c r="T87" s="1191">
        <v>12186</v>
      </c>
      <c r="U87" s="1176">
        <v>5791</v>
      </c>
      <c r="V87" s="498"/>
      <c r="W87" s="499"/>
      <c r="X87" s="963"/>
      <c r="Y87" s="499"/>
      <c r="Z87" s="589"/>
      <c r="AA87" s="589"/>
      <c r="AB87" s="589"/>
    </row>
    <row r="88" spans="1:28">
      <c r="A88" s="498"/>
      <c r="B88" s="502"/>
      <c r="C88" s="502" t="s">
        <v>52</v>
      </c>
      <c r="D88" s="590">
        <v>286849</v>
      </c>
      <c r="E88" s="590">
        <v>334387</v>
      </c>
      <c r="F88" s="590">
        <v>299549</v>
      </c>
      <c r="G88" s="590">
        <v>294194</v>
      </c>
      <c r="H88" s="590">
        <v>303340</v>
      </c>
      <c r="I88" s="590">
        <v>263450</v>
      </c>
      <c r="J88" s="590">
        <v>471841</v>
      </c>
      <c r="K88" s="590">
        <v>385947</v>
      </c>
      <c r="L88" s="590">
        <v>410042</v>
      </c>
      <c r="M88" s="590">
        <v>357489</v>
      </c>
      <c r="N88" s="590">
        <v>342378</v>
      </c>
      <c r="O88" s="590">
        <v>365559</v>
      </c>
      <c r="P88" s="590">
        <v>446477</v>
      </c>
      <c r="Q88" s="590">
        <v>485246</v>
      </c>
      <c r="R88" s="1294">
        <f t="shared" ref="R88" si="39">SUM(R86:R87)</f>
        <v>545626</v>
      </c>
      <c r="S88" s="590">
        <f t="shared" ref="S88" si="40">SUM(S86:S87)</f>
        <v>611919</v>
      </c>
      <c r="T88" s="1192">
        <v>554995</v>
      </c>
      <c r="U88" s="1174">
        <f>SUM(U86:U87)</f>
        <v>535567</v>
      </c>
      <c r="V88" s="498"/>
      <c r="W88" s="499"/>
      <c r="X88" s="499"/>
      <c r="Y88" s="499"/>
      <c r="Z88" s="589"/>
      <c r="AA88" s="589"/>
      <c r="AB88" s="589"/>
    </row>
    <row r="89" spans="1:28">
      <c r="A89" s="498"/>
      <c r="B89" s="499" t="s">
        <v>311</v>
      </c>
      <c r="C89" s="499" t="s">
        <v>127</v>
      </c>
      <c r="D89" s="589">
        <v>530453</v>
      </c>
      <c r="E89" s="589">
        <v>595893</v>
      </c>
      <c r="F89" s="589">
        <v>713383</v>
      </c>
      <c r="G89" s="589">
        <v>786820</v>
      </c>
      <c r="H89" s="589">
        <v>843686</v>
      </c>
      <c r="I89" s="589">
        <v>798314</v>
      </c>
      <c r="J89" s="589">
        <v>834346</v>
      </c>
      <c r="K89" s="589">
        <v>863007</v>
      </c>
      <c r="L89" s="589">
        <v>867357</v>
      </c>
      <c r="M89" s="589">
        <v>900839</v>
      </c>
      <c r="N89" s="589">
        <v>1019446</v>
      </c>
      <c r="O89" s="589">
        <v>1209803</v>
      </c>
      <c r="P89" s="589">
        <v>1035413</v>
      </c>
      <c r="Q89" s="589">
        <v>1090876</v>
      </c>
      <c r="R89" s="1096">
        <v>1080819</v>
      </c>
      <c r="S89" s="589">
        <v>1106082</v>
      </c>
      <c r="T89" s="589">
        <v>1093692</v>
      </c>
      <c r="U89" s="1171">
        <v>1205506</v>
      </c>
      <c r="V89" s="498"/>
      <c r="W89" s="499"/>
      <c r="X89" s="499"/>
      <c r="Y89" s="499"/>
      <c r="Z89" s="589"/>
      <c r="AA89" s="589"/>
      <c r="AB89" s="589"/>
    </row>
    <row r="90" spans="1:28">
      <c r="A90" s="498"/>
      <c r="B90" s="499"/>
      <c r="C90" s="580" t="s">
        <v>56</v>
      </c>
      <c r="D90" s="585">
        <v>14950</v>
      </c>
      <c r="E90" s="585">
        <v>15742</v>
      </c>
      <c r="F90" s="585">
        <v>17479</v>
      </c>
      <c r="G90" s="585">
        <v>18337</v>
      </c>
      <c r="H90" s="585">
        <v>17718</v>
      </c>
      <c r="I90" s="585">
        <v>15082</v>
      </c>
      <c r="J90" s="585">
        <v>15040</v>
      </c>
      <c r="K90" s="585">
        <v>14627</v>
      </c>
      <c r="L90" s="585">
        <v>13903</v>
      </c>
      <c r="M90" s="585">
        <v>13728</v>
      </c>
      <c r="N90" s="585">
        <v>15421</v>
      </c>
      <c r="O90" s="585">
        <v>16903</v>
      </c>
      <c r="P90" s="585">
        <v>14674</v>
      </c>
      <c r="Q90" s="585">
        <v>14947</v>
      </c>
      <c r="R90" s="1292">
        <v>14408</v>
      </c>
      <c r="S90" s="585">
        <v>14324</v>
      </c>
      <c r="T90" s="585">
        <v>14656</v>
      </c>
      <c r="U90" s="1176">
        <v>16154</v>
      </c>
      <c r="V90" s="498"/>
      <c r="W90" s="499"/>
      <c r="X90" s="499"/>
      <c r="Y90" s="499"/>
      <c r="Z90" s="589"/>
      <c r="AA90" s="589"/>
      <c r="AB90" s="589"/>
    </row>
    <row r="91" spans="1:28">
      <c r="A91" s="498"/>
      <c r="B91" s="499"/>
      <c r="C91" s="580" t="s">
        <v>121</v>
      </c>
      <c r="D91" s="585">
        <v>7060</v>
      </c>
      <c r="E91" s="585">
        <v>7753</v>
      </c>
      <c r="F91" s="585">
        <v>8446</v>
      </c>
      <c r="G91" s="585">
        <v>10232</v>
      </c>
      <c r="H91" s="585">
        <v>10724</v>
      </c>
      <c r="I91" s="585">
        <v>9290</v>
      </c>
      <c r="J91" s="585">
        <v>9960</v>
      </c>
      <c r="K91" s="585">
        <v>10526</v>
      </c>
      <c r="L91" s="585">
        <v>9617</v>
      </c>
      <c r="M91" s="585">
        <v>11060</v>
      </c>
      <c r="N91" s="585">
        <v>12129</v>
      </c>
      <c r="O91" s="585">
        <v>12809</v>
      </c>
      <c r="P91" s="585">
        <v>11928</v>
      </c>
      <c r="Q91" s="585">
        <v>11879</v>
      </c>
      <c r="R91" s="1292">
        <v>11453</v>
      </c>
      <c r="S91" s="585">
        <v>11453</v>
      </c>
      <c r="T91" s="585">
        <v>11675</v>
      </c>
      <c r="U91" s="1176">
        <v>13844</v>
      </c>
      <c r="V91" s="498"/>
      <c r="W91" s="499"/>
      <c r="X91" s="499"/>
      <c r="Y91" s="499"/>
      <c r="Z91" s="589"/>
      <c r="AA91" s="589"/>
      <c r="AB91" s="589"/>
    </row>
    <row r="92" spans="1:28">
      <c r="A92" s="498"/>
      <c r="B92" s="499"/>
      <c r="C92" s="580" t="s">
        <v>58</v>
      </c>
      <c r="D92" s="585">
        <v>9974</v>
      </c>
      <c r="E92" s="585">
        <v>11531</v>
      </c>
      <c r="F92" s="585">
        <v>14459</v>
      </c>
      <c r="G92" s="585">
        <v>14607</v>
      </c>
      <c r="H92" s="585">
        <v>17773</v>
      </c>
      <c r="I92" s="585">
        <v>15687</v>
      </c>
      <c r="J92" s="585">
        <v>17649</v>
      </c>
      <c r="K92" s="585">
        <v>17324</v>
      </c>
      <c r="L92" s="585">
        <v>17832</v>
      </c>
      <c r="M92" s="585">
        <v>18019</v>
      </c>
      <c r="N92" s="585">
        <v>21623</v>
      </c>
      <c r="O92" s="585">
        <v>24588</v>
      </c>
      <c r="P92" s="585">
        <v>21612</v>
      </c>
      <c r="Q92" s="585">
        <v>23196</v>
      </c>
      <c r="R92" s="1292">
        <v>23431</v>
      </c>
      <c r="S92" s="585">
        <v>24074</v>
      </c>
      <c r="T92" s="585">
        <v>23293</v>
      </c>
      <c r="U92" s="1176">
        <v>25517</v>
      </c>
      <c r="V92" s="498"/>
      <c r="W92" s="499"/>
      <c r="X92" s="499"/>
      <c r="Y92" s="499"/>
      <c r="Z92" s="589"/>
      <c r="AA92" s="589"/>
      <c r="AB92" s="589"/>
    </row>
    <row r="93" spans="1:28">
      <c r="A93" s="498"/>
      <c r="B93" s="499"/>
      <c r="C93" s="580" t="s">
        <v>59</v>
      </c>
      <c r="D93" s="585">
        <v>4528</v>
      </c>
      <c r="E93" s="585">
        <v>5091</v>
      </c>
      <c r="F93" s="585">
        <v>5880</v>
      </c>
      <c r="G93" s="585">
        <v>7304</v>
      </c>
      <c r="H93" s="585">
        <v>8543</v>
      </c>
      <c r="I93" s="585">
        <v>11819</v>
      </c>
      <c r="J93" s="585">
        <v>14070</v>
      </c>
      <c r="K93" s="585">
        <v>16120</v>
      </c>
      <c r="L93" s="585">
        <v>18165</v>
      </c>
      <c r="M93" s="585">
        <v>22908</v>
      </c>
      <c r="N93" s="585">
        <v>24112</v>
      </c>
      <c r="O93" s="585">
        <v>28061</v>
      </c>
      <c r="P93" s="585">
        <v>30642</v>
      </c>
      <c r="Q93" s="585">
        <v>33080</v>
      </c>
      <c r="R93" s="1292">
        <v>34723</v>
      </c>
      <c r="S93" s="585">
        <v>36615</v>
      </c>
      <c r="T93" s="585">
        <v>36672</v>
      </c>
      <c r="U93" s="1176">
        <v>37439</v>
      </c>
      <c r="V93" s="498"/>
      <c r="W93" s="499"/>
      <c r="X93" s="499"/>
      <c r="Y93" s="499"/>
      <c r="Z93" s="589"/>
      <c r="AA93" s="589"/>
      <c r="AB93" s="589"/>
    </row>
    <row r="94" spans="1:28">
      <c r="A94" s="498"/>
      <c r="B94" s="499"/>
      <c r="C94" s="582" t="s">
        <v>51</v>
      </c>
      <c r="D94" s="587">
        <v>26290</v>
      </c>
      <c r="E94" s="587">
        <v>39082</v>
      </c>
      <c r="F94" s="587">
        <v>49701</v>
      </c>
      <c r="G94" s="587">
        <v>44499</v>
      </c>
      <c r="H94" s="587">
        <v>44148</v>
      </c>
      <c r="I94" s="587">
        <v>29910</v>
      </c>
      <c r="J94" s="587">
        <v>50135</v>
      </c>
      <c r="K94" s="587">
        <v>66473</v>
      </c>
      <c r="L94" s="587">
        <v>69257</v>
      </c>
      <c r="M94" s="587">
        <v>74924</v>
      </c>
      <c r="N94" s="587">
        <v>78659</v>
      </c>
      <c r="O94" s="587">
        <v>89572</v>
      </c>
      <c r="P94" s="587">
        <v>76230</v>
      </c>
      <c r="Q94" s="587">
        <v>81973</v>
      </c>
      <c r="R94" s="1293">
        <v>78721</v>
      </c>
      <c r="S94" s="587">
        <v>83039</v>
      </c>
      <c r="T94" s="587">
        <v>78298</v>
      </c>
      <c r="U94" s="1176">
        <v>87347</v>
      </c>
      <c r="V94" s="498"/>
      <c r="W94" s="589"/>
      <c r="X94" s="499"/>
      <c r="Y94" s="499"/>
      <c r="Z94" s="589"/>
      <c r="AA94" s="589"/>
      <c r="AB94" s="589"/>
    </row>
    <row r="95" spans="1:28">
      <c r="A95" s="498"/>
      <c r="B95" s="499"/>
      <c r="C95" s="499" t="s">
        <v>52</v>
      </c>
      <c r="D95" s="589">
        <v>593255</v>
      </c>
      <c r="E95" s="589">
        <v>675092</v>
      </c>
      <c r="F95" s="589">
        <v>809348</v>
      </c>
      <c r="G95" s="589">
        <v>881799</v>
      </c>
      <c r="H95" s="589">
        <v>942592</v>
      </c>
      <c r="I95" s="589">
        <v>880102</v>
      </c>
      <c r="J95" s="589">
        <v>941200</v>
      </c>
      <c r="K95" s="589">
        <v>988077</v>
      </c>
      <c r="L95" s="589">
        <v>996131</v>
      </c>
      <c r="M95" s="589">
        <v>1041478</v>
      </c>
      <c r="N95" s="589">
        <v>1171390</v>
      </c>
      <c r="O95" s="589">
        <v>1381736</v>
      </c>
      <c r="P95" s="589">
        <v>1190499</v>
      </c>
      <c r="Q95" s="589">
        <f t="shared" ref="Q95" si="41">SUM(Q89:Q94)</f>
        <v>1255951</v>
      </c>
      <c r="R95" s="1096">
        <f t="shared" ref="R95" si="42">SUM(R89:R94)</f>
        <v>1243555</v>
      </c>
      <c r="S95" s="589">
        <f t="shared" ref="S95" si="43">SUM(S89:S94)</f>
        <v>1275587</v>
      </c>
      <c r="T95" s="589">
        <v>1258286</v>
      </c>
      <c r="U95" s="1170">
        <f>SUM(U89:U94)</f>
        <v>1385807</v>
      </c>
      <c r="V95" s="1269"/>
      <c r="W95" s="589"/>
      <c r="X95" s="499"/>
      <c r="Y95" s="499"/>
      <c r="Z95" s="589"/>
      <c r="AA95" s="589"/>
      <c r="AB95" s="589"/>
    </row>
    <row r="96" spans="1:28">
      <c r="A96" s="501"/>
      <c r="B96" s="516" t="s">
        <v>52</v>
      </c>
      <c r="C96" s="516"/>
      <c r="D96" s="591">
        <v>1098197</v>
      </c>
      <c r="E96" s="591">
        <v>1254248</v>
      </c>
      <c r="F96" s="591">
        <v>1364254</v>
      </c>
      <c r="G96" s="591">
        <v>1449599</v>
      </c>
      <c r="H96" s="591">
        <v>1507664</v>
      </c>
      <c r="I96" s="591">
        <v>1391084</v>
      </c>
      <c r="J96" s="591">
        <v>1679319</v>
      </c>
      <c r="K96" s="591">
        <v>1653277</v>
      </c>
      <c r="L96" s="591">
        <v>1709061</v>
      </c>
      <c r="M96" s="591">
        <v>1718491</v>
      </c>
      <c r="N96" s="591">
        <v>1829321</v>
      </c>
      <c r="O96" s="591">
        <v>2063114</v>
      </c>
      <c r="P96" s="591">
        <v>1961936</v>
      </c>
      <c r="Q96" s="591">
        <v>2057424</v>
      </c>
      <c r="R96" s="1195">
        <f t="shared" ref="R96" si="44">R85+R88+R95</f>
        <v>2094983</v>
      </c>
      <c r="S96" s="591">
        <f t="shared" ref="S96" si="45">S85+S88+S95</f>
        <v>2191161</v>
      </c>
      <c r="T96" s="591">
        <v>2098070</v>
      </c>
      <c r="U96" s="1196">
        <f>U85+U88+U95</f>
        <v>2203957</v>
      </c>
      <c r="V96" s="499"/>
      <c r="W96" s="499"/>
      <c r="X96" s="499"/>
      <c r="Y96" s="499"/>
      <c r="Z96" s="589"/>
      <c r="AA96" s="589"/>
      <c r="AB96" s="589"/>
    </row>
    <row r="97" spans="1:28">
      <c r="A97" s="498" t="s">
        <v>51</v>
      </c>
      <c r="B97" s="499" t="s">
        <v>296</v>
      </c>
      <c r="C97" s="499" t="s">
        <v>127</v>
      </c>
      <c r="D97" s="589">
        <v>3580</v>
      </c>
      <c r="E97" s="589">
        <v>4530</v>
      </c>
      <c r="F97" s="589">
        <v>4335</v>
      </c>
      <c r="G97" s="589">
        <v>3255</v>
      </c>
      <c r="H97" s="589">
        <v>2909</v>
      </c>
      <c r="I97" s="589">
        <v>2807</v>
      </c>
      <c r="J97" s="589">
        <v>2663</v>
      </c>
      <c r="K97" s="589">
        <v>2434</v>
      </c>
      <c r="L97" s="589">
        <v>2374</v>
      </c>
      <c r="M97" s="589">
        <v>2382</v>
      </c>
      <c r="N97" s="589">
        <v>2416</v>
      </c>
      <c r="O97" s="589">
        <v>12088</v>
      </c>
      <c r="P97" s="589">
        <v>2993</v>
      </c>
      <c r="Q97" s="589">
        <v>2392</v>
      </c>
      <c r="R97" s="1096">
        <v>3475</v>
      </c>
      <c r="S97" s="589">
        <v>3261</v>
      </c>
      <c r="T97" s="1189">
        <v>3383</v>
      </c>
      <c r="U97" s="1169">
        <v>3117</v>
      </c>
      <c r="V97" s="499"/>
      <c r="W97" s="499"/>
      <c r="X97" s="499"/>
      <c r="Y97" s="499"/>
      <c r="Z97" s="589"/>
      <c r="AA97" s="589"/>
      <c r="AB97" s="589"/>
    </row>
    <row r="98" spans="1:28">
      <c r="A98" s="498"/>
      <c r="B98" s="499"/>
      <c r="C98" s="580" t="s">
        <v>56</v>
      </c>
      <c r="D98" s="585">
        <v>2005</v>
      </c>
      <c r="E98" s="585">
        <v>2324</v>
      </c>
      <c r="F98" s="585">
        <v>2658</v>
      </c>
      <c r="G98" s="585">
        <v>2514</v>
      </c>
      <c r="H98" s="585">
        <v>2281</v>
      </c>
      <c r="I98" s="585">
        <v>2006</v>
      </c>
      <c r="J98" s="585">
        <v>2189</v>
      </c>
      <c r="K98" s="585">
        <v>2056</v>
      </c>
      <c r="L98" s="585">
        <v>2127</v>
      </c>
      <c r="M98" s="585">
        <v>2207</v>
      </c>
      <c r="N98" s="585">
        <v>2327</v>
      </c>
      <c r="O98" s="585">
        <v>2251</v>
      </c>
      <c r="P98" s="585">
        <v>2381</v>
      </c>
      <c r="Q98" s="585">
        <v>2621</v>
      </c>
      <c r="R98" s="1292">
        <v>2913</v>
      </c>
      <c r="S98" s="585">
        <v>2906</v>
      </c>
      <c r="T98" s="585">
        <v>2460</v>
      </c>
      <c r="U98" s="954">
        <v>2698</v>
      </c>
      <c r="V98" s="499"/>
      <c r="W98" s="499"/>
      <c r="X98" s="499"/>
      <c r="Y98" s="499"/>
      <c r="Z98" s="589"/>
      <c r="AA98" s="589"/>
      <c r="AB98" s="589"/>
    </row>
    <row r="99" spans="1:28">
      <c r="A99" s="498"/>
      <c r="B99" s="499"/>
      <c r="C99" s="580" t="s">
        <v>121</v>
      </c>
      <c r="D99" s="585">
        <v>534</v>
      </c>
      <c r="E99" s="585">
        <v>663</v>
      </c>
      <c r="F99" s="585">
        <v>880</v>
      </c>
      <c r="G99" s="585">
        <v>821</v>
      </c>
      <c r="H99" s="585">
        <v>769</v>
      </c>
      <c r="I99" s="585">
        <v>515</v>
      </c>
      <c r="J99" s="585">
        <v>781</v>
      </c>
      <c r="K99" s="585">
        <v>900</v>
      </c>
      <c r="L99" s="585">
        <v>961</v>
      </c>
      <c r="M99" s="585">
        <v>890</v>
      </c>
      <c r="N99" s="585">
        <v>1085</v>
      </c>
      <c r="O99" s="585">
        <v>1034</v>
      </c>
      <c r="P99" s="585">
        <v>855</v>
      </c>
      <c r="Q99" s="585">
        <v>1009</v>
      </c>
      <c r="R99" s="1292">
        <v>1259</v>
      </c>
      <c r="S99" s="585">
        <v>1284</v>
      </c>
      <c r="T99" s="585">
        <v>1407</v>
      </c>
      <c r="U99" s="954">
        <v>1363</v>
      </c>
      <c r="V99" s="499"/>
      <c r="W99" s="499"/>
      <c r="X99" s="499"/>
      <c r="Y99" s="499"/>
      <c r="Z99" s="589"/>
      <c r="AA99" s="589"/>
      <c r="AB99" s="589"/>
    </row>
    <row r="100" spans="1:28">
      <c r="A100" s="498"/>
      <c r="B100" s="499"/>
      <c r="C100" s="580" t="s">
        <v>58</v>
      </c>
      <c r="D100" s="585">
        <v>455</v>
      </c>
      <c r="E100" s="585">
        <v>635</v>
      </c>
      <c r="F100" s="585">
        <v>826</v>
      </c>
      <c r="G100" s="585">
        <v>986</v>
      </c>
      <c r="H100" s="585">
        <v>1223</v>
      </c>
      <c r="I100" s="585">
        <v>946</v>
      </c>
      <c r="J100" s="585">
        <v>1097</v>
      </c>
      <c r="K100" s="585">
        <v>1267</v>
      </c>
      <c r="L100" s="585">
        <v>1873</v>
      </c>
      <c r="M100" s="585">
        <v>1752</v>
      </c>
      <c r="N100" s="585">
        <v>2756</v>
      </c>
      <c r="O100" s="585">
        <v>4438</v>
      </c>
      <c r="P100" s="585">
        <v>4896</v>
      </c>
      <c r="Q100" s="585">
        <v>4829</v>
      </c>
      <c r="R100" s="1292">
        <v>6831</v>
      </c>
      <c r="S100" s="585">
        <v>7194</v>
      </c>
      <c r="T100" s="585">
        <v>5449</v>
      </c>
      <c r="U100" s="954">
        <v>5323</v>
      </c>
      <c r="V100" s="499"/>
      <c r="W100" s="499"/>
      <c r="X100" s="499"/>
      <c r="Y100" s="499"/>
      <c r="Z100" s="589"/>
      <c r="AA100" s="589"/>
      <c r="AB100" s="589"/>
    </row>
    <row r="101" spans="1:28">
      <c r="A101" s="498"/>
      <c r="B101" s="499"/>
      <c r="C101" s="580" t="s">
        <v>59</v>
      </c>
      <c r="D101" s="585">
        <v>31377</v>
      </c>
      <c r="E101" s="585">
        <v>33886</v>
      </c>
      <c r="F101" s="585">
        <v>38756</v>
      </c>
      <c r="G101" s="585">
        <v>40086</v>
      </c>
      <c r="H101" s="585">
        <v>40101</v>
      </c>
      <c r="I101" s="585">
        <v>39836</v>
      </c>
      <c r="J101" s="585">
        <v>43719</v>
      </c>
      <c r="K101" s="585">
        <v>44579</v>
      </c>
      <c r="L101" s="585">
        <v>48294</v>
      </c>
      <c r="M101" s="585">
        <v>51049</v>
      </c>
      <c r="N101" s="585">
        <v>49762</v>
      </c>
      <c r="O101" s="585">
        <v>50357</v>
      </c>
      <c r="P101" s="585">
        <v>50974</v>
      </c>
      <c r="Q101" s="585">
        <v>51365</v>
      </c>
      <c r="R101" s="1292">
        <v>51392</v>
      </c>
      <c r="S101" s="585">
        <v>67695</v>
      </c>
      <c r="T101" s="585">
        <v>65998</v>
      </c>
      <c r="U101" s="954">
        <v>63000</v>
      </c>
      <c r="V101" s="499"/>
      <c r="W101" s="499"/>
      <c r="X101" s="499"/>
      <c r="Y101" s="499"/>
      <c r="Z101" s="589"/>
      <c r="AA101" s="589"/>
      <c r="AB101" s="589"/>
    </row>
    <row r="102" spans="1:28">
      <c r="A102" s="498"/>
      <c r="B102" s="499"/>
      <c r="C102" s="582" t="s">
        <v>51</v>
      </c>
      <c r="D102" s="587">
        <v>65802</v>
      </c>
      <c r="E102" s="587">
        <v>60758</v>
      </c>
      <c r="F102" s="587">
        <v>67018</v>
      </c>
      <c r="G102" s="587">
        <v>54347</v>
      </c>
      <c r="H102" s="587">
        <v>108544</v>
      </c>
      <c r="I102" s="587">
        <v>90607</v>
      </c>
      <c r="J102" s="587">
        <v>75585</v>
      </c>
      <c r="K102" s="587">
        <v>71808</v>
      </c>
      <c r="L102" s="587">
        <v>80343</v>
      </c>
      <c r="M102" s="587">
        <v>88645</v>
      </c>
      <c r="N102" s="587">
        <v>84315</v>
      </c>
      <c r="O102" s="587">
        <v>88691</v>
      </c>
      <c r="P102" s="587">
        <v>91795</v>
      </c>
      <c r="Q102" s="587">
        <v>89036</v>
      </c>
      <c r="R102" s="1293">
        <v>90428</v>
      </c>
      <c r="S102" s="587">
        <v>90090</v>
      </c>
      <c r="T102" s="587">
        <v>100585</v>
      </c>
      <c r="U102" s="1176">
        <v>89820</v>
      </c>
      <c r="V102" s="499"/>
      <c r="W102" s="499"/>
      <c r="X102" s="499"/>
      <c r="Y102" s="499"/>
      <c r="Z102" s="589"/>
      <c r="AA102" s="589"/>
      <c r="AB102" s="589"/>
    </row>
    <row r="103" spans="1:28">
      <c r="A103" s="498"/>
      <c r="B103" s="499"/>
      <c r="C103" s="499" t="s">
        <v>52</v>
      </c>
      <c r="D103" s="589">
        <v>103753</v>
      </c>
      <c r="E103" s="589">
        <v>102796</v>
      </c>
      <c r="F103" s="589">
        <v>114473</v>
      </c>
      <c r="G103" s="589">
        <v>102009</v>
      </c>
      <c r="H103" s="589">
        <v>155827</v>
      </c>
      <c r="I103" s="589">
        <v>136717</v>
      </c>
      <c r="J103" s="589">
        <v>126034</v>
      </c>
      <c r="K103" s="589">
        <v>123044</v>
      </c>
      <c r="L103" s="589">
        <v>135972</v>
      </c>
      <c r="M103" s="589">
        <v>146925</v>
      </c>
      <c r="N103" s="589">
        <v>142661</v>
      </c>
      <c r="O103" s="589">
        <v>158859</v>
      </c>
      <c r="P103" s="589">
        <v>153894</v>
      </c>
      <c r="Q103" s="589">
        <f t="shared" ref="Q103" si="46">SUM(Q97:Q102)</f>
        <v>151252</v>
      </c>
      <c r="R103" s="1096">
        <f t="shared" ref="R103" si="47">SUM(R97:R102)</f>
        <v>156298</v>
      </c>
      <c r="S103" s="1178">
        <f t="shared" ref="S103" si="48">SUM(S97:S102)</f>
        <v>172430</v>
      </c>
      <c r="T103" s="1194">
        <v>179282</v>
      </c>
      <c r="U103" s="1170">
        <f>SUM(U97:U102)</f>
        <v>165321</v>
      </c>
      <c r="V103" s="499"/>
      <c r="W103" s="499"/>
      <c r="X103" s="499"/>
      <c r="Y103" s="499"/>
      <c r="Z103" s="589"/>
      <c r="AA103" s="589"/>
      <c r="AB103" s="589"/>
    </row>
    <row r="104" spans="1:28">
      <c r="A104" s="498"/>
      <c r="B104" s="579" t="s">
        <v>297</v>
      </c>
      <c r="C104" s="579" t="s">
        <v>127</v>
      </c>
      <c r="D104" s="583">
        <v>50695</v>
      </c>
      <c r="E104" s="583">
        <v>64410</v>
      </c>
      <c r="F104" s="583">
        <v>71989</v>
      </c>
      <c r="G104" s="583">
        <v>74714</v>
      </c>
      <c r="H104" s="583">
        <v>87798</v>
      </c>
      <c r="I104" s="583">
        <v>88734</v>
      </c>
      <c r="J104" s="583">
        <v>131860</v>
      </c>
      <c r="K104" s="583">
        <v>120211</v>
      </c>
      <c r="L104" s="583">
        <v>123895</v>
      </c>
      <c r="M104" s="583">
        <v>103591</v>
      </c>
      <c r="N104" s="583">
        <v>87879</v>
      </c>
      <c r="O104" s="583">
        <v>96714</v>
      </c>
      <c r="P104" s="583">
        <v>114799</v>
      </c>
      <c r="Q104" s="583">
        <v>132154</v>
      </c>
      <c r="R104" s="1291">
        <v>149516</v>
      </c>
      <c r="S104" s="1179">
        <v>146895</v>
      </c>
      <c r="T104" s="1190">
        <v>143771</v>
      </c>
      <c r="U104" s="1171">
        <v>153257</v>
      </c>
      <c r="V104" s="499"/>
      <c r="W104" s="499"/>
      <c r="X104" s="499"/>
      <c r="Y104" s="499"/>
      <c r="Z104" s="589"/>
      <c r="AA104" s="589"/>
      <c r="AB104" s="589"/>
    </row>
    <row r="105" spans="1:28">
      <c r="A105" s="498"/>
      <c r="B105" s="499"/>
      <c r="C105" s="582" t="s">
        <v>51</v>
      </c>
      <c r="D105" s="587">
        <v>3885</v>
      </c>
      <c r="E105" s="587">
        <v>7690</v>
      </c>
      <c r="F105" s="587">
        <v>8576</v>
      </c>
      <c r="G105" s="587">
        <v>9689</v>
      </c>
      <c r="H105" s="587">
        <v>23871</v>
      </c>
      <c r="I105" s="587">
        <v>8194</v>
      </c>
      <c r="J105" s="587">
        <v>7515</v>
      </c>
      <c r="K105" s="587">
        <v>8575</v>
      </c>
      <c r="L105" s="587">
        <v>22285</v>
      </c>
      <c r="M105" s="587">
        <v>12215</v>
      </c>
      <c r="N105" s="587">
        <v>10842</v>
      </c>
      <c r="O105" s="587">
        <v>10781</v>
      </c>
      <c r="P105" s="587">
        <v>11562</v>
      </c>
      <c r="Q105" s="587">
        <v>12119</v>
      </c>
      <c r="R105" s="1293">
        <v>15090</v>
      </c>
      <c r="S105" s="1180">
        <v>13708</v>
      </c>
      <c r="T105" s="1191">
        <v>15728</v>
      </c>
      <c r="U105" s="1176">
        <v>10900</v>
      </c>
      <c r="V105" s="499"/>
      <c r="W105" s="499"/>
      <c r="X105" s="499"/>
      <c r="Y105" s="499"/>
      <c r="Z105" s="589"/>
      <c r="AA105" s="589"/>
      <c r="AB105" s="589"/>
    </row>
    <row r="106" spans="1:28">
      <c r="A106" s="498"/>
      <c r="B106" s="502"/>
      <c r="C106" s="502" t="s">
        <v>52</v>
      </c>
      <c r="D106" s="590">
        <v>54580</v>
      </c>
      <c r="E106" s="590">
        <v>72100</v>
      </c>
      <c r="F106" s="590">
        <v>80565</v>
      </c>
      <c r="G106" s="590">
        <v>84403</v>
      </c>
      <c r="H106" s="590">
        <v>111669</v>
      </c>
      <c r="I106" s="590">
        <v>96928</v>
      </c>
      <c r="J106" s="590">
        <v>139375</v>
      </c>
      <c r="K106" s="590">
        <v>128786</v>
      </c>
      <c r="L106" s="590">
        <v>146180</v>
      </c>
      <c r="M106" s="590">
        <v>115806</v>
      </c>
      <c r="N106" s="590">
        <v>98721</v>
      </c>
      <c r="O106" s="590">
        <v>107495</v>
      </c>
      <c r="P106" s="590">
        <v>126361</v>
      </c>
      <c r="Q106" s="590">
        <v>144273</v>
      </c>
      <c r="R106" s="1294">
        <f t="shared" ref="R106" si="49">SUM(R104:R105)</f>
        <v>164606</v>
      </c>
      <c r="S106" s="1181">
        <f t="shared" ref="S106" si="50">SUM(S104:S105)</f>
        <v>160603</v>
      </c>
      <c r="T106" s="1192">
        <v>159499</v>
      </c>
      <c r="U106" s="1174">
        <f>SUM(U104:U105)</f>
        <v>164157</v>
      </c>
      <c r="V106" s="499"/>
      <c r="W106" s="499"/>
      <c r="X106" s="499"/>
      <c r="Y106" s="499"/>
      <c r="Z106" s="589"/>
      <c r="AA106" s="589"/>
      <c r="AB106" s="589"/>
    </row>
    <row r="107" spans="1:28">
      <c r="A107" s="498"/>
      <c r="B107" s="499" t="s">
        <v>311</v>
      </c>
      <c r="C107" s="499" t="s">
        <v>127</v>
      </c>
      <c r="D107" s="589">
        <v>99027</v>
      </c>
      <c r="E107" s="589">
        <v>116207</v>
      </c>
      <c r="F107" s="589">
        <v>137651</v>
      </c>
      <c r="G107" s="589">
        <v>152770</v>
      </c>
      <c r="H107" s="589">
        <v>199268</v>
      </c>
      <c r="I107" s="589">
        <v>156698</v>
      </c>
      <c r="J107" s="589">
        <v>161801</v>
      </c>
      <c r="K107" s="589">
        <v>162686</v>
      </c>
      <c r="L107" s="589">
        <v>171372</v>
      </c>
      <c r="M107" s="589">
        <v>176926</v>
      </c>
      <c r="N107" s="589">
        <v>187328</v>
      </c>
      <c r="O107" s="589">
        <v>185648</v>
      </c>
      <c r="P107" s="589">
        <v>188580</v>
      </c>
      <c r="Q107" s="589">
        <v>193626</v>
      </c>
      <c r="R107" s="1096">
        <v>210164</v>
      </c>
      <c r="S107" s="1178">
        <v>227441</v>
      </c>
      <c r="T107" s="589">
        <v>232534</v>
      </c>
      <c r="U107" s="1171">
        <v>240186</v>
      </c>
      <c r="V107" s="499"/>
      <c r="W107" s="499"/>
      <c r="X107" s="499"/>
      <c r="Y107" s="499"/>
      <c r="Z107" s="589"/>
      <c r="AA107" s="589"/>
      <c r="AB107" s="589"/>
    </row>
    <row r="108" spans="1:28">
      <c r="A108" s="498"/>
      <c r="B108" s="499"/>
      <c r="C108" s="580" t="s">
        <v>56</v>
      </c>
      <c r="D108" s="585">
        <v>1991</v>
      </c>
      <c r="E108" s="585">
        <v>2040</v>
      </c>
      <c r="F108" s="585">
        <v>2315</v>
      </c>
      <c r="G108" s="585">
        <v>2425</v>
      </c>
      <c r="H108" s="585">
        <v>2341</v>
      </c>
      <c r="I108" s="585">
        <v>1984</v>
      </c>
      <c r="J108" s="585">
        <v>2088</v>
      </c>
      <c r="K108" s="585">
        <v>2129</v>
      </c>
      <c r="L108" s="585">
        <v>2105</v>
      </c>
      <c r="M108" s="585">
        <v>2215</v>
      </c>
      <c r="N108" s="585">
        <v>2342</v>
      </c>
      <c r="O108" s="585">
        <v>2284</v>
      </c>
      <c r="P108" s="585">
        <v>2183</v>
      </c>
      <c r="Q108" s="585">
        <v>2153</v>
      </c>
      <c r="R108" s="1292">
        <v>2624</v>
      </c>
      <c r="S108" s="1182">
        <v>2849</v>
      </c>
      <c r="T108" s="585">
        <v>2654</v>
      </c>
      <c r="U108" s="1176">
        <v>2822</v>
      </c>
      <c r="V108" s="499"/>
      <c r="W108" s="499"/>
      <c r="X108" s="499"/>
      <c r="Y108" s="499"/>
      <c r="Z108" s="589"/>
      <c r="AA108" s="589"/>
      <c r="AB108" s="589"/>
    </row>
    <row r="109" spans="1:28">
      <c r="A109" s="498"/>
      <c r="B109" s="499"/>
      <c r="C109" s="580" t="s">
        <v>121</v>
      </c>
      <c r="D109" s="585">
        <v>939</v>
      </c>
      <c r="E109" s="585">
        <v>870</v>
      </c>
      <c r="F109" s="585">
        <v>980</v>
      </c>
      <c r="G109" s="585">
        <v>1282</v>
      </c>
      <c r="H109" s="585">
        <v>1295</v>
      </c>
      <c r="I109" s="585">
        <v>1098</v>
      </c>
      <c r="J109" s="585">
        <v>1285</v>
      </c>
      <c r="K109" s="585">
        <v>1296</v>
      </c>
      <c r="L109" s="585">
        <v>1292</v>
      </c>
      <c r="M109" s="585">
        <v>1546</v>
      </c>
      <c r="N109" s="585">
        <v>1628</v>
      </c>
      <c r="O109" s="585">
        <v>1473</v>
      </c>
      <c r="P109" s="585">
        <v>1455</v>
      </c>
      <c r="Q109" s="585">
        <v>1483</v>
      </c>
      <c r="R109" s="1292">
        <v>1700</v>
      </c>
      <c r="S109" s="1182">
        <v>2022</v>
      </c>
      <c r="T109" s="585">
        <v>1791</v>
      </c>
      <c r="U109" s="1176">
        <v>1964</v>
      </c>
      <c r="V109" s="499"/>
      <c r="W109" s="499"/>
      <c r="X109" s="499"/>
      <c r="Y109" s="499"/>
      <c r="Z109" s="589"/>
      <c r="AA109" s="589"/>
      <c r="AB109" s="589"/>
    </row>
    <row r="110" spans="1:28">
      <c r="A110" s="498"/>
      <c r="B110" s="499"/>
      <c r="C110" s="580" t="s">
        <v>58</v>
      </c>
      <c r="D110" s="585">
        <v>1852</v>
      </c>
      <c r="E110" s="585">
        <v>1822</v>
      </c>
      <c r="F110" s="585">
        <v>2212</v>
      </c>
      <c r="G110" s="585">
        <v>2236</v>
      </c>
      <c r="H110" s="585">
        <v>2372</v>
      </c>
      <c r="I110" s="585">
        <v>2292</v>
      </c>
      <c r="J110" s="585">
        <v>2835</v>
      </c>
      <c r="K110" s="585">
        <v>3300</v>
      </c>
      <c r="L110" s="585">
        <v>2998</v>
      </c>
      <c r="M110" s="585">
        <v>3110</v>
      </c>
      <c r="N110" s="585">
        <v>3341</v>
      </c>
      <c r="O110" s="585">
        <v>3320</v>
      </c>
      <c r="P110" s="585">
        <v>3293</v>
      </c>
      <c r="Q110" s="585">
        <v>3170</v>
      </c>
      <c r="R110" s="1292">
        <v>3528</v>
      </c>
      <c r="S110" s="1182">
        <v>3807</v>
      </c>
      <c r="T110" s="585">
        <v>3905</v>
      </c>
      <c r="U110" s="1176">
        <v>4181</v>
      </c>
      <c r="V110" s="499"/>
      <c r="W110" s="499"/>
      <c r="X110" s="499"/>
      <c r="Y110" s="499"/>
      <c r="Z110" s="589"/>
      <c r="AA110" s="589"/>
      <c r="AB110" s="589"/>
    </row>
    <row r="111" spans="1:28">
      <c r="A111" s="498"/>
      <c r="B111" s="499"/>
      <c r="C111" s="580" t="s">
        <v>59</v>
      </c>
      <c r="D111" s="585">
        <v>2993</v>
      </c>
      <c r="E111" s="585">
        <v>3068</v>
      </c>
      <c r="F111" s="585">
        <v>3572</v>
      </c>
      <c r="G111" s="585">
        <v>4315</v>
      </c>
      <c r="H111" s="585">
        <v>5203</v>
      </c>
      <c r="I111" s="585">
        <v>6330</v>
      </c>
      <c r="J111" s="585">
        <v>7487</v>
      </c>
      <c r="K111" s="585">
        <v>7921</v>
      </c>
      <c r="L111" s="585">
        <v>9104</v>
      </c>
      <c r="M111" s="585">
        <v>10269</v>
      </c>
      <c r="N111" s="585">
        <v>10790</v>
      </c>
      <c r="O111" s="585">
        <v>11565</v>
      </c>
      <c r="P111" s="585">
        <v>12613</v>
      </c>
      <c r="Q111" s="585">
        <v>13340</v>
      </c>
      <c r="R111" s="1292">
        <v>13057</v>
      </c>
      <c r="S111" s="1182">
        <v>14039</v>
      </c>
      <c r="T111" s="585">
        <v>13681</v>
      </c>
      <c r="U111" s="1176">
        <v>18001</v>
      </c>
      <c r="V111" s="499"/>
      <c r="W111" s="499"/>
      <c r="X111" s="499"/>
      <c r="Y111" s="499"/>
      <c r="Z111" s="589"/>
      <c r="AA111" s="589"/>
      <c r="AB111" s="589"/>
    </row>
    <row r="112" spans="1:28">
      <c r="A112" s="498"/>
      <c r="B112" s="499"/>
      <c r="C112" s="582" t="s">
        <v>51</v>
      </c>
      <c r="D112" s="587">
        <v>30177</v>
      </c>
      <c r="E112" s="587">
        <v>19684</v>
      </c>
      <c r="F112" s="587">
        <v>24467</v>
      </c>
      <c r="G112" s="587">
        <v>12338</v>
      </c>
      <c r="H112" s="587">
        <v>12696</v>
      </c>
      <c r="I112" s="587">
        <v>13686</v>
      </c>
      <c r="J112" s="587">
        <v>13756</v>
      </c>
      <c r="K112" s="587">
        <v>24307</v>
      </c>
      <c r="L112" s="587">
        <v>21179</v>
      </c>
      <c r="M112" s="587">
        <v>26975</v>
      </c>
      <c r="N112" s="587">
        <v>29820</v>
      </c>
      <c r="O112" s="587">
        <v>24785</v>
      </c>
      <c r="P112" s="587">
        <v>26720</v>
      </c>
      <c r="Q112" s="587">
        <v>24073</v>
      </c>
      <c r="R112" s="1293">
        <v>28376</v>
      </c>
      <c r="S112" s="1180">
        <v>28163</v>
      </c>
      <c r="T112" s="587">
        <v>30145</v>
      </c>
      <c r="U112" s="1176">
        <v>29308</v>
      </c>
      <c r="V112" s="499"/>
      <c r="W112" s="499"/>
      <c r="X112" s="499"/>
      <c r="Y112" s="499"/>
      <c r="Z112" s="589"/>
      <c r="AA112" s="589"/>
      <c r="AB112" s="589"/>
    </row>
    <row r="113" spans="1:28">
      <c r="A113" s="498"/>
      <c r="B113" s="499"/>
      <c r="C113" s="499" t="s">
        <v>52</v>
      </c>
      <c r="D113" s="589">
        <v>136979</v>
      </c>
      <c r="E113" s="589">
        <v>143691</v>
      </c>
      <c r="F113" s="589">
        <v>171197</v>
      </c>
      <c r="G113" s="589">
        <v>175366</v>
      </c>
      <c r="H113" s="589">
        <v>223175</v>
      </c>
      <c r="I113" s="589">
        <v>182088</v>
      </c>
      <c r="J113" s="589">
        <v>189252</v>
      </c>
      <c r="K113" s="589">
        <v>201639</v>
      </c>
      <c r="L113" s="589">
        <v>208050</v>
      </c>
      <c r="M113" s="589">
        <v>221041</v>
      </c>
      <c r="N113" s="589">
        <v>235249</v>
      </c>
      <c r="O113" s="589">
        <v>229075</v>
      </c>
      <c r="P113" s="589">
        <v>234844</v>
      </c>
      <c r="Q113" s="589">
        <f t="shared" ref="Q113" si="51">SUM(Q107:Q112)</f>
        <v>237845</v>
      </c>
      <c r="R113" s="1096">
        <f t="shared" ref="R113" si="52">SUM(R107:R112)</f>
        <v>259449</v>
      </c>
      <c r="S113" s="1178">
        <f>SUM(S107:S112)</f>
        <v>278321</v>
      </c>
      <c r="T113" s="1096">
        <v>284710</v>
      </c>
      <c r="U113" s="1174">
        <f>SUM(U107:U112)</f>
        <v>296462</v>
      </c>
      <c r="V113" s="499"/>
      <c r="W113" s="499"/>
      <c r="X113" s="499"/>
      <c r="Y113" s="499"/>
      <c r="Z113" s="589"/>
      <c r="AA113" s="589"/>
      <c r="AB113" s="589"/>
    </row>
    <row r="114" spans="1:28">
      <c r="A114" s="501"/>
      <c r="B114" s="516" t="s">
        <v>52</v>
      </c>
      <c r="C114" s="516"/>
      <c r="D114" s="591">
        <v>295312</v>
      </c>
      <c r="E114" s="591">
        <v>318587</v>
      </c>
      <c r="F114" s="591">
        <v>366235</v>
      </c>
      <c r="G114" s="591">
        <v>361778</v>
      </c>
      <c r="H114" s="591">
        <v>490671</v>
      </c>
      <c r="I114" s="591">
        <v>415733</v>
      </c>
      <c r="J114" s="591">
        <v>454661</v>
      </c>
      <c r="K114" s="591">
        <v>453469</v>
      </c>
      <c r="L114" s="591">
        <v>490202</v>
      </c>
      <c r="M114" s="591">
        <v>483772</v>
      </c>
      <c r="N114" s="591">
        <v>476631</v>
      </c>
      <c r="O114" s="591">
        <v>495429</v>
      </c>
      <c r="P114" s="591">
        <v>515099</v>
      </c>
      <c r="Q114" s="591">
        <v>533370</v>
      </c>
      <c r="R114" s="1195">
        <f t="shared" ref="R114" si="53">R103+R106+R113</f>
        <v>580353</v>
      </c>
      <c r="S114" s="1183">
        <f>S103+S106+S113</f>
        <v>611354</v>
      </c>
      <c r="T114" s="1195">
        <v>623491</v>
      </c>
      <c r="U114" s="1196">
        <f>U113+U106+U103</f>
        <v>625940</v>
      </c>
      <c r="V114" s="1177"/>
      <c r="W114" s="499"/>
      <c r="X114" s="499"/>
      <c r="Y114" s="499"/>
      <c r="Z114" s="589"/>
      <c r="AA114" s="589"/>
      <c r="AB114" s="589"/>
    </row>
    <row r="115" spans="1:28">
      <c r="P115" s="605"/>
      <c r="U115" s="962"/>
      <c r="V115" s="499"/>
      <c r="W115" s="499"/>
      <c r="X115" s="499"/>
      <c r="Y115" s="499"/>
      <c r="Z115" s="499"/>
      <c r="AA115" s="499"/>
      <c r="AB115" s="499"/>
    </row>
    <row r="116" spans="1:28">
      <c r="U116" s="1224"/>
      <c r="V116" s="499"/>
      <c r="W116" s="499"/>
      <c r="X116" s="499"/>
      <c r="Y116" s="499"/>
      <c r="Z116" s="499"/>
      <c r="AA116" s="499"/>
      <c r="AB116" s="499"/>
    </row>
    <row r="117" spans="1:28">
      <c r="B117" s="497" t="s">
        <v>300</v>
      </c>
      <c r="C117" s="514"/>
      <c r="D117" s="534">
        <v>2004</v>
      </c>
      <c r="E117" s="534">
        <v>2005</v>
      </c>
      <c r="F117" s="534">
        <v>2006</v>
      </c>
      <c r="G117" s="534">
        <v>2007</v>
      </c>
      <c r="H117" s="534">
        <v>2008</v>
      </c>
      <c r="I117" s="534">
        <v>2009</v>
      </c>
      <c r="J117" s="534">
        <v>2010</v>
      </c>
      <c r="K117" s="534">
        <v>2011</v>
      </c>
      <c r="L117" s="534">
        <v>2012</v>
      </c>
      <c r="M117" s="534">
        <v>2013</v>
      </c>
      <c r="N117" s="534">
        <v>2014</v>
      </c>
      <c r="O117" s="534">
        <v>2015</v>
      </c>
      <c r="P117" s="534">
        <v>2016</v>
      </c>
      <c r="Q117" s="534">
        <v>2017</v>
      </c>
      <c r="R117" s="759">
        <v>2018</v>
      </c>
      <c r="S117" s="534">
        <v>2019</v>
      </c>
      <c r="T117" s="534">
        <v>2020</v>
      </c>
      <c r="U117" s="1187">
        <v>2021</v>
      </c>
      <c r="V117" s="499"/>
      <c r="W117" s="499"/>
      <c r="X117" s="499"/>
      <c r="Y117" s="499"/>
      <c r="Z117" s="499"/>
      <c r="AA117" s="499"/>
      <c r="AB117" s="499"/>
    </row>
    <row r="118" spans="1:28">
      <c r="B118" s="593" t="s">
        <v>296</v>
      </c>
      <c r="C118" s="594"/>
      <c r="D118" s="600">
        <f>D13+D31+D49+D67+D85+D103</f>
        <v>1149981</v>
      </c>
      <c r="E118" s="600">
        <f t="shared" ref="E118:T118" si="54">E13+E31+E49+E67+E85+E103</f>
        <v>1237028</v>
      </c>
      <c r="F118" s="600">
        <f t="shared" si="54"/>
        <v>1282384</v>
      </c>
      <c r="G118" s="600">
        <f t="shared" si="54"/>
        <v>1307377</v>
      </c>
      <c r="H118" s="600">
        <f t="shared" si="54"/>
        <v>1382985</v>
      </c>
      <c r="I118" s="600">
        <f t="shared" si="54"/>
        <v>1331777</v>
      </c>
      <c r="J118" s="600">
        <f t="shared" si="54"/>
        <v>1389232</v>
      </c>
      <c r="K118" s="600">
        <f t="shared" si="54"/>
        <v>1555711</v>
      </c>
      <c r="L118" s="600">
        <f t="shared" si="54"/>
        <v>1728578</v>
      </c>
      <c r="M118" s="600">
        <f t="shared" si="54"/>
        <v>1921441</v>
      </c>
      <c r="N118" s="600">
        <f t="shared" si="54"/>
        <v>2008933</v>
      </c>
      <c r="O118" s="600">
        <f t="shared" si="54"/>
        <v>2188932</v>
      </c>
      <c r="P118" s="600">
        <f t="shared" si="54"/>
        <v>2436257</v>
      </c>
      <c r="Q118" s="600">
        <f t="shared" si="54"/>
        <v>2456411</v>
      </c>
      <c r="R118" s="1295">
        <f t="shared" si="54"/>
        <v>2600036</v>
      </c>
      <c r="S118" s="600">
        <f t="shared" si="54"/>
        <v>2465543</v>
      </c>
      <c r="T118" s="600">
        <f t="shared" si="54"/>
        <v>2538782</v>
      </c>
      <c r="U118" s="600">
        <v>2592580</v>
      </c>
      <c r="V118" s="589"/>
      <c r="W118" s="589"/>
      <c r="X118" s="589"/>
      <c r="Y118" s="499"/>
      <c r="Z118" s="589"/>
      <c r="AA118" s="589"/>
      <c r="AB118" s="589"/>
    </row>
    <row r="119" spans="1:28">
      <c r="B119" s="595" t="s">
        <v>297</v>
      </c>
      <c r="C119" s="596"/>
      <c r="D119" s="601">
        <f>D16+D34+D52+D70+D88+D106</f>
        <v>1773822</v>
      </c>
      <c r="E119" s="601">
        <f t="shared" ref="E119:U119" si="55">E16+E34+E52+E70+E88+E106</f>
        <v>2072805</v>
      </c>
      <c r="F119" s="601">
        <f t="shared" si="55"/>
        <v>2022731</v>
      </c>
      <c r="G119" s="601">
        <f t="shared" si="55"/>
        <v>2107125</v>
      </c>
      <c r="H119" s="601">
        <f t="shared" si="55"/>
        <v>2149428</v>
      </c>
      <c r="I119" s="601">
        <f t="shared" si="55"/>
        <v>1934661</v>
      </c>
      <c r="J119" s="601">
        <f t="shared" si="55"/>
        <v>2461004</v>
      </c>
      <c r="K119" s="601">
        <f t="shared" si="55"/>
        <v>2358797</v>
      </c>
      <c r="L119" s="601">
        <f t="shared" si="55"/>
        <v>2368478</v>
      </c>
      <c r="M119" s="601">
        <f t="shared" si="55"/>
        <v>2309520</v>
      </c>
      <c r="N119" s="601">
        <f t="shared" si="55"/>
        <v>2281077</v>
      </c>
      <c r="O119" s="601">
        <f t="shared" si="55"/>
        <v>2339557</v>
      </c>
      <c r="P119" s="601">
        <f t="shared" si="55"/>
        <v>2456492</v>
      </c>
      <c r="Q119" s="601">
        <f t="shared" si="55"/>
        <v>2587653</v>
      </c>
      <c r="R119" s="1296">
        <f t="shared" si="55"/>
        <v>2743126</v>
      </c>
      <c r="S119" s="601">
        <f t="shared" si="55"/>
        <v>2882282</v>
      </c>
      <c r="T119" s="601">
        <f t="shared" si="55"/>
        <v>2809184</v>
      </c>
      <c r="U119" s="601">
        <f t="shared" si="55"/>
        <v>2811808</v>
      </c>
      <c r="V119" s="589"/>
      <c r="W119" s="589"/>
      <c r="X119" s="589"/>
      <c r="Y119" s="499"/>
      <c r="Z119" s="589"/>
      <c r="AA119" s="589"/>
      <c r="AB119" s="589"/>
    </row>
    <row r="120" spans="1:28">
      <c r="B120" s="597" t="s">
        <v>311</v>
      </c>
      <c r="C120" s="598"/>
      <c r="D120" s="602">
        <f>D23+D41+D59+D77+D95+D113</f>
        <v>1705252</v>
      </c>
      <c r="E120" s="602">
        <f t="shared" ref="E120:U120" si="56">E23+E41+E59+E77+E95+E113</f>
        <v>2008969</v>
      </c>
      <c r="F120" s="602">
        <f t="shared" si="56"/>
        <v>2358326</v>
      </c>
      <c r="G120" s="602">
        <f t="shared" si="56"/>
        <v>2577681</v>
      </c>
      <c r="H120" s="602">
        <f t="shared" si="56"/>
        <v>2838620</v>
      </c>
      <c r="I120" s="602">
        <f t="shared" si="56"/>
        <v>2815629</v>
      </c>
      <c r="J120" s="602">
        <f t="shared" si="56"/>
        <v>3149889</v>
      </c>
      <c r="K120" s="602">
        <f t="shared" si="56"/>
        <v>3328711</v>
      </c>
      <c r="L120" s="602">
        <f t="shared" si="56"/>
        <v>3592359</v>
      </c>
      <c r="M120" s="602">
        <f t="shared" si="56"/>
        <v>3744584</v>
      </c>
      <c r="N120" s="602">
        <f t="shared" si="56"/>
        <v>3974560</v>
      </c>
      <c r="O120" s="602">
        <f t="shared" si="56"/>
        <v>4194233</v>
      </c>
      <c r="P120" s="602">
        <f t="shared" si="56"/>
        <v>4054312</v>
      </c>
      <c r="Q120" s="602">
        <f t="shared" si="56"/>
        <v>4214917</v>
      </c>
      <c r="R120" s="1297">
        <f t="shared" si="56"/>
        <v>4372022</v>
      </c>
      <c r="S120" s="602">
        <f t="shared" si="56"/>
        <v>4526180</v>
      </c>
      <c r="T120" s="602">
        <f t="shared" si="56"/>
        <v>4554971</v>
      </c>
      <c r="U120" s="602">
        <f t="shared" si="56"/>
        <v>4907160</v>
      </c>
      <c r="V120" s="589"/>
      <c r="W120" s="589"/>
      <c r="X120" s="589"/>
      <c r="Y120" s="499"/>
      <c r="Z120" s="589"/>
      <c r="AA120" s="589"/>
      <c r="AB120" s="589"/>
    </row>
    <row r="121" spans="1:28">
      <c r="B121" s="501" t="s">
        <v>52</v>
      </c>
      <c r="C121" s="510"/>
      <c r="D121" s="538">
        <f>SUM(D118:D120)</f>
        <v>4629055</v>
      </c>
      <c r="E121" s="538">
        <f t="shared" ref="E121:T121" si="57">SUM(E118:E120)</f>
        <v>5318802</v>
      </c>
      <c r="F121" s="538">
        <f t="shared" si="57"/>
        <v>5663441</v>
      </c>
      <c r="G121" s="538">
        <f t="shared" si="57"/>
        <v>5992183</v>
      </c>
      <c r="H121" s="538">
        <f t="shared" si="57"/>
        <v>6371033</v>
      </c>
      <c r="I121" s="538">
        <f t="shared" si="57"/>
        <v>6082067</v>
      </c>
      <c r="J121" s="538">
        <f t="shared" si="57"/>
        <v>7000125</v>
      </c>
      <c r="K121" s="538">
        <f t="shared" si="57"/>
        <v>7243219</v>
      </c>
      <c r="L121" s="538">
        <f t="shared" si="57"/>
        <v>7689415</v>
      </c>
      <c r="M121" s="538">
        <f t="shared" si="57"/>
        <v>7975545</v>
      </c>
      <c r="N121" s="538">
        <f t="shared" si="57"/>
        <v>8264570</v>
      </c>
      <c r="O121" s="538">
        <f t="shared" si="57"/>
        <v>8722722</v>
      </c>
      <c r="P121" s="538">
        <f t="shared" si="57"/>
        <v>8947061</v>
      </c>
      <c r="Q121" s="538">
        <f t="shared" si="57"/>
        <v>9258981</v>
      </c>
      <c r="R121" s="1298">
        <f t="shared" si="57"/>
        <v>9715184</v>
      </c>
      <c r="S121" s="538">
        <f t="shared" si="57"/>
        <v>9874005</v>
      </c>
      <c r="T121" s="538">
        <f t="shared" si="57"/>
        <v>9902937</v>
      </c>
      <c r="U121" s="1167">
        <f>SUM(U118:U120)</f>
        <v>10311548</v>
      </c>
      <c r="V121" s="589"/>
      <c r="W121" s="589"/>
      <c r="X121" s="589"/>
      <c r="Y121" s="499"/>
      <c r="Z121" s="589"/>
      <c r="AA121" s="589"/>
      <c r="AB121" s="589"/>
    </row>
    <row r="122" spans="1:28">
      <c r="U122" s="1224"/>
      <c r="V122" s="499"/>
      <c r="W122" s="499"/>
      <c r="X122" s="499"/>
      <c r="Y122" s="499"/>
      <c r="Z122" s="499"/>
      <c r="AA122" s="499"/>
      <c r="AB122" s="499"/>
    </row>
    <row r="123" spans="1:28">
      <c r="B123" s="515" t="s">
        <v>53</v>
      </c>
      <c r="C123" s="517"/>
      <c r="D123" s="524">
        <v>2004</v>
      </c>
      <c r="E123" s="524">
        <v>2005</v>
      </c>
      <c r="F123" s="524">
        <v>2006</v>
      </c>
      <c r="G123" s="524">
        <v>2007</v>
      </c>
      <c r="H123" s="524">
        <v>2008</v>
      </c>
      <c r="I123" s="524">
        <v>2009</v>
      </c>
      <c r="J123" s="524">
        <v>2010</v>
      </c>
      <c r="K123" s="524">
        <v>2011</v>
      </c>
      <c r="L123" s="524">
        <v>2012</v>
      </c>
      <c r="M123" s="524">
        <v>2013</v>
      </c>
      <c r="N123" s="524">
        <v>2014</v>
      </c>
      <c r="O123" s="524">
        <v>2015</v>
      </c>
      <c r="P123" s="524">
        <v>2016</v>
      </c>
      <c r="Q123" s="524">
        <v>2017</v>
      </c>
      <c r="R123" s="1299">
        <v>2018</v>
      </c>
      <c r="S123" s="524">
        <v>2019</v>
      </c>
      <c r="T123" s="524">
        <v>2020</v>
      </c>
      <c r="U123" s="1087">
        <v>2021</v>
      </c>
      <c r="V123" s="499"/>
      <c r="W123" s="499"/>
      <c r="X123" s="499"/>
      <c r="Y123" s="499"/>
      <c r="Z123" s="499"/>
      <c r="AA123" s="499"/>
      <c r="AB123" s="499"/>
    </row>
    <row r="124" spans="1:28">
      <c r="B124" s="497" t="s">
        <v>127</v>
      </c>
      <c r="C124" s="514"/>
      <c r="D124" s="603">
        <f>D24</f>
        <v>1955254</v>
      </c>
      <c r="E124" s="603">
        <f t="shared" ref="E124:T124" si="58">E24</f>
        <v>2264910</v>
      </c>
      <c r="F124" s="603">
        <f t="shared" si="58"/>
        <v>2380192</v>
      </c>
      <c r="G124" s="603">
        <f t="shared" si="58"/>
        <v>2560592</v>
      </c>
      <c r="H124" s="603">
        <f t="shared" si="58"/>
        <v>2737287</v>
      </c>
      <c r="I124" s="603">
        <f t="shared" si="58"/>
        <v>2685260</v>
      </c>
      <c r="J124" s="603">
        <f t="shared" si="58"/>
        <v>3003765</v>
      </c>
      <c r="K124" s="603">
        <f t="shared" si="58"/>
        <v>3060397</v>
      </c>
      <c r="L124" s="603">
        <f t="shared" si="58"/>
        <v>3107006</v>
      </c>
      <c r="M124" s="603">
        <f t="shared" si="58"/>
        <v>3161888</v>
      </c>
      <c r="N124" s="603">
        <f t="shared" si="58"/>
        <v>3238940</v>
      </c>
      <c r="O124" s="603">
        <f t="shared" si="58"/>
        <v>3251956</v>
      </c>
      <c r="P124" s="603">
        <f t="shared" si="58"/>
        <v>3262666</v>
      </c>
      <c r="Q124" s="603">
        <f t="shared" si="58"/>
        <v>3344724</v>
      </c>
      <c r="R124" s="1300">
        <f t="shared" si="58"/>
        <v>3467876</v>
      </c>
      <c r="S124" s="603">
        <f t="shared" si="58"/>
        <v>3497960</v>
      </c>
      <c r="T124" s="603">
        <f t="shared" si="58"/>
        <v>3445318</v>
      </c>
      <c r="U124" s="603">
        <f t="shared" ref="U124" si="59">U24</f>
        <v>3542848</v>
      </c>
      <c r="V124" s="589"/>
      <c r="W124" s="589"/>
      <c r="X124" s="589"/>
      <c r="Y124" s="499"/>
      <c r="Z124" s="589"/>
      <c r="AA124" s="589"/>
      <c r="AB124" s="589"/>
    </row>
    <row r="125" spans="1:28">
      <c r="B125" s="599" t="s">
        <v>56</v>
      </c>
      <c r="C125" s="581"/>
      <c r="D125" s="548">
        <f>D42</f>
        <v>984698</v>
      </c>
      <c r="E125" s="548">
        <f t="shared" ref="E125:T125" si="60">E42</f>
        <v>1082620</v>
      </c>
      <c r="F125" s="548">
        <f t="shared" si="60"/>
        <v>1085270</v>
      </c>
      <c r="G125" s="548">
        <f t="shared" si="60"/>
        <v>1095421</v>
      </c>
      <c r="H125" s="548">
        <f t="shared" si="60"/>
        <v>1081722</v>
      </c>
      <c r="I125" s="548">
        <f t="shared" si="60"/>
        <v>998209</v>
      </c>
      <c r="J125" s="548">
        <f t="shared" si="60"/>
        <v>1145232</v>
      </c>
      <c r="K125" s="548">
        <f t="shared" si="60"/>
        <v>1186328</v>
      </c>
      <c r="L125" s="548">
        <f t="shared" si="60"/>
        <v>1281023</v>
      </c>
      <c r="M125" s="548">
        <f t="shared" si="60"/>
        <v>1275625</v>
      </c>
      <c r="N125" s="548">
        <f t="shared" si="60"/>
        <v>1258882</v>
      </c>
      <c r="O125" s="548">
        <f t="shared" si="60"/>
        <v>1225357</v>
      </c>
      <c r="P125" s="548">
        <f t="shared" si="60"/>
        <v>1211142</v>
      </c>
      <c r="Q125" s="548">
        <f t="shared" si="60"/>
        <v>1244535</v>
      </c>
      <c r="R125" s="1301">
        <f t="shared" si="60"/>
        <v>1273772</v>
      </c>
      <c r="S125" s="548">
        <f t="shared" si="60"/>
        <v>1251430</v>
      </c>
      <c r="T125" s="548">
        <f t="shared" si="60"/>
        <v>1217123</v>
      </c>
      <c r="U125" s="548">
        <f t="shared" ref="U125" si="61">U42</f>
        <v>1196855</v>
      </c>
      <c r="V125" s="589"/>
      <c r="W125" s="589"/>
      <c r="X125" s="589"/>
      <c r="Y125" s="499"/>
      <c r="Z125" s="589"/>
      <c r="AA125" s="589"/>
      <c r="AB125" s="589"/>
    </row>
    <row r="126" spans="1:28">
      <c r="B126" s="599" t="s">
        <v>121</v>
      </c>
      <c r="C126" s="581"/>
      <c r="D126" s="548">
        <f>D60</f>
        <v>216380</v>
      </c>
      <c r="E126" s="548">
        <f t="shared" ref="E126:T126" si="62">E60</f>
        <v>285537</v>
      </c>
      <c r="F126" s="548">
        <f t="shared" si="62"/>
        <v>317298</v>
      </c>
      <c r="G126" s="548">
        <f t="shared" si="62"/>
        <v>328462</v>
      </c>
      <c r="H126" s="548">
        <f t="shared" si="62"/>
        <v>302412</v>
      </c>
      <c r="I126" s="548">
        <f t="shared" si="62"/>
        <v>298000</v>
      </c>
      <c r="J126" s="548">
        <f t="shared" si="62"/>
        <v>340552</v>
      </c>
      <c r="K126" s="548">
        <f t="shared" si="62"/>
        <v>364530</v>
      </c>
      <c r="L126" s="548">
        <f t="shared" si="62"/>
        <v>409186</v>
      </c>
      <c r="M126" s="548">
        <f t="shared" si="62"/>
        <v>454204</v>
      </c>
      <c r="N126" s="548">
        <f t="shared" si="62"/>
        <v>452053</v>
      </c>
      <c r="O126" s="548">
        <f t="shared" si="62"/>
        <v>469136</v>
      </c>
      <c r="P126" s="548">
        <f t="shared" si="62"/>
        <v>480312</v>
      </c>
      <c r="Q126" s="548">
        <f t="shared" si="62"/>
        <v>459727</v>
      </c>
      <c r="R126" s="1301">
        <f t="shared" si="62"/>
        <v>493229</v>
      </c>
      <c r="S126" s="548">
        <f t="shared" si="62"/>
        <v>549660</v>
      </c>
      <c r="T126" s="548">
        <f t="shared" si="62"/>
        <v>589441</v>
      </c>
      <c r="U126" s="548">
        <f t="shared" ref="U126" si="63">U60</f>
        <v>609127</v>
      </c>
      <c r="V126" s="589"/>
      <c r="W126" s="589"/>
      <c r="X126" s="589"/>
      <c r="Y126" s="499"/>
      <c r="Z126" s="589"/>
      <c r="AA126" s="589"/>
      <c r="AB126" s="589"/>
    </row>
    <row r="127" spans="1:28">
      <c r="B127" s="599" t="s">
        <v>58</v>
      </c>
      <c r="C127" s="581"/>
      <c r="D127" s="548">
        <f>D78</f>
        <v>79214</v>
      </c>
      <c r="E127" s="548">
        <f t="shared" ref="E127:T127" si="64">E78</f>
        <v>112900</v>
      </c>
      <c r="F127" s="548">
        <f t="shared" si="64"/>
        <v>150192</v>
      </c>
      <c r="G127" s="548">
        <f t="shared" si="64"/>
        <v>196331</v>
      </c>
      <c r="H127" s="548">
        <f t="shared" si="64"/>
        <v>251277</v>
      </c>
      <c r="I127" s="548">
        <f t="shared" si="64"/>
        <v>293781</v>
      </c>
      <c r="J127" s="548">
        <f t="shared" si="64"/>
        <v>376596</v>
      </c>
      <c r="K127" s="548">
        <f t="shared" si="64"/>
        <v>525218</v>
      </c>
      <c r="L127" s="548">
        <f t="shared" si="64"/>
        <v>692937</v>
      </c>
      <c r="M127" s="548">
        <f t="shared" si="64"/>
        <v>881565</v>
      </c>
      <c r="N127" s="548">
        <f t="shared" si="64"/>
        <v>1008743</v>
      </c>
      <c r="O127" s="548">
        <f t="shared" si="64"/>
        <v>1217730</v>
      </c>
      <c r="P127" s="548">
        <f t="shared" si="64"/>
        <v>1515906</v>
      </c>
      <c r="Q127" s="548">
        <f t="shared" si="64"/>
        <v>1619201</v>
      </c>
      <c r="R127" s="1301">
        <f t="shared" si="64"/>
        <v>1804971</v>
      </c>
      <c r="S127" s="548">
        <f t="shared" si="64"/>
        <v>1772440</v>
      </c>
      <c r="T127" s="548">
        <f t="shared" si="64"/>
        <v>1929494</v>
      </c>
      <c r="U127" s="548">
        <f t="shared" ref="U127" si="65">U78</f>
        <v>2138679</v>
      </c>
      <c r="V127" s="589"/>
      <c r="W127" s="589"/>
      <c r="X127" s="589"/>
      <c r="Y127" s="499"/>
      <c r="Z127" s="589"/>
      <c r="AA127" s="589"/>
      <c r="AB127" s="589"/>
    </row>
    <row r="128" spans="1:28">
      <c r="B128" s="599" t="s">
        <v>59</v>
      </c>
      <c r="C128" s="581"/>
      <c r="D128" s="548">
        <f>D96</f>
        <v>1098197</v>
      </c>
      <c r="E128" s="548">
        <f t="shared" ref="E128:T128" si="66">E96</f>
        <v>1254248</v>
      </c>
      <c r="F128" s="548">
        <f t="shared" si="66"/>
        <v>1364254</v>
      </c>
      <c r="G128" s="548">
        <f t="shared" si="66"/>
        <v>1449599</v>
      </c>
      <c r="H128" s="548">
        <f t="shared" si="66"/>
        <v>1507664</v>
      </c>
      <c r="I128" s="548">
        <f t="shared" si="66"/>
        <v>1391084</v>
      </c>
      <c r="J128" s="548">
        <f t="shared" si="66"/>
        <v>1679319</v>
      </c>
      <c r="K128" s="548">
        <f t="shared" si="66"/>
        <v>1653277</v>
      </c>
      <c r="L128" s="548">
        <f t="shared" si="66"/>
        <v>1709061</v>
      </c>
      <c r="M128" s="548">
        <f t="shared" si="66"/>
        <v>1718491</v>
      </c>
      <c r="N128" s="548">
        <f t="shared" si="66"/>
        <v>1829321</v>
      </c>
      <c r="O128" s="548">
        <f t="shared" si="66"/>
        <v>2063114</v>
      </c>
      <c r="P128" s="548">
        <f t="shared" si="66"/>
        <v>1961936</v>
      </c>
      <c r="Q128" s="548">
        <f t="shared" si="66"/>
        <v>2057424</v>
      </c>
      <c r="R128" s="1301">
        <f t="shared" si="66"/>
        <v>2094983</v>
      </c>
      <c r="S128" s="548">
        <f t="shared" si="66"/>
        <v>2191161</v>
      </c>
      <c r="T128" s="548">
        <f t="shared" si="66"/>
        <v>2098070</v>
      </c>
      <c r="U128" s="548">
        <f t="shared" ref="U128" si="67">U96</f>
        <v>2203957</v>
      </c>
      <c r="V128" s="589"/>
      <c r="W128" s="589"/>
      <c r="X128" s="589"/>
      <c r="Y128" s="499"/>
      <c r="Z128" s="589"/>
      <c r="AA128" s="589"/>
      <c r="AB128" s="589"/>
    </row>
    <row r="129" spans="2:28">
      <c r="B129" s="501" t="s">
        <v>51</v>
      </c>
      <c r="C129" s="510"/>
      <c r="D129" s="538">
        <f>D114</f>
        <v>295312</v>
      </c>
      <c r="E129" s="538">
        <f t="shared" ref="E129:T129" si="68">E114</f>
        <v>318587</v>
      </c>
      <c r="F129" s="538">
        <f t="shared" si="68"/>
        <v>366235</v>
      </c>
      <c r="G129" s="538">
        <f t="shared" si="68"/>
        <v>361778</v>
      </c>
      <c r="H129" s="538">
        <f t="shared" si="68"/>
        <v>490671</v>
      </c>
      <c r="I129" s="538">
        <f t="shared" si="68"/>
        <v>415733</v>
      </c>
      <c r="J129" s="538">
        <f t="shared" si="68"/>
        <v>454661</v>
      </c>
      <c r="K129" s="538">
        <f t="shared" si="68"/>
        <v>453469</v>
      </c>
      <c r="L129" s="538">
        <f t="shared" si="68"/>
        <v>490202</v>
      </c>
      <c r="M129" s="538">
        <f t="shared" si="68"/>
        <v>483772</v>
      </c>
      <c r="N129" s="538">
        <f t="shared" si="68"/>
        <v>476631</v>
      </c>
      <c r="O129" s="538">
        <f t="shared" si="68"/>
        <v>495429</v>
      </c>
      <c r="P129" s="538">
        <f t="shared" si="68"/>
        <v>515099</v>
      </c>
      <c r="Q129" s="538">
        <f t="shared" si="68"/>
        <v>533370</v>
      </c>
      <c r="R129" s="1298">
        <f t="shared" si="68"/>
        <v>580353</v>
      </c>
      <c r="S129" s="538">
        <f t="shared" si="68"/>
        <v>611354</v>
      </c>
      <c r="T129" s="538">
        <f t="shared" si="68"/>
        <v>623491</v>
      </c>
      <c r="U129" s="538">
        <v>620082</v>
      </c>
      <c r="V129" s="589"/>
      <c r="W129" s="589"/>
      <c r="X129" s="589"/>
      <c r="Y129" s="499"/>
      <c r="Z129" s="589"/>
      <c r="AA129" s="589"/>
      <c r="AB129" s="589"/>
    </row>
    <row r="130" spans="2:28">
      <c r="B130" s="515" t="s">
        <v>52</v>
      </c>
      <c r="C130" s="517"/>
      <c r="D130" s="604">
        <f>SUM(D124:D129)</f>
        <v>4629055</v>
      </c>
      <c r="E130" s="604">
        <f t="shared" ref="E130:T130" si="69">SUM(E124:E129)</f>
        <v>5318802</v>
      </c>
      <c r="F130" s="604">
        <f t="shared" si="69"/>
        <v>5663441</v>
      </c>
      <c r="G130" s="604">
        <f t="shared" si="69"/>
        <v>5992183</v>
      </c>
      <c r="H130" s="604">
        <f t="shared" si="69"/>
        <v>6371033</v>
      </c>
      <c r="I130" s="604">
        <f t="shared" si="69"/>
        <v>6082067</v>
      </c>
      <c r="J130" s="604">
        <f t="shared" si="69"/>
        <v>7000125</v>
      </c>
      <c r="K130" s="604">
        <f t="shared" si="69"/>
        <v>7243219</v>
      </c>
      <c r="L130" s="604">
        <f t="shared" si="69"/>
        <v>7689415</v>
      </c>
      <c r="M130" s="604">
        <f t="shared" si="69"/>
        <v>7975545</v>
      </c>
      <c r="N130" s="604">
        <f t="shared" si="69"/>
        <v>8264570</v>
      </c>
      <c r="O130" s="604">
        <f t="shared" si="69"/>
        <v>8722722</v>
      </c>
      <c r="P130" s="604">
        <f t="shared" si="69"/>
        <v>8947061</v>
      </c>
      <c r="Q130" s="604">
        <f t="shared" si="69"/>
        <v>9258981</v>
      </c>
      <c r="R130" s="1302">
        <f t="shared" si="69"/>
        <v>9715184</v>
      </c>
      <c r="S130" s="604">
        <f t="shared" si="69"/>
        <v>9874005</v>
      </c>
      <c r="T130" s="604">
        <f t="shared" si="69"/>
        <v>9902937</v>
      </c>
      <c r="U130" s="1175">
        <f>SUM(U124:U129)</f>
        <v>10311548</v>
      </c>
      <c r="V130" s="589"/>
      <c r="W130" s="589"/>
      <c r="X130" s="589"/>
      <c r="Y130" s="499"/>
      <c r="Z130" s="589"/>
      <c r="AA130" s="589"/>
      <c r="AB130" s="589"/>
    </row>
    <row r="131" spans="2:28">
      <c r="U131" s="1224"/>
      <c r="V131" s="499"/>
      <c r="W131" s="499"/>
      <c r="X131" s="499"/>
      <c r="Y131" s="499"/>
      <c r="Z131" s="499"/>
      <c r="AA131" s="499"/>
      <c r="AB131" s="499"/>
    </row>
    <row r="132" spans="2:28">
      <c r="B132" s="515" t="s">
        <v>310</v>
      </c>
      <c r="C132" s="517"/>
      <c r="D132" s="524">
        <v>2004</v>
      </c>
      <c r="E132" s="524">
        <v>2005</v>
      </c>
      <c r="F132" s="524">
        <v>2006</v>
      </c>
      <c r="G132" s="524">
        <v>2007</v>
      </c>
      <c r="H132" s="524">
        <v>2008</v>
      </c>
      <c r="I132" s="524">
        <v>2009</v>
      </c>
      <c r="J132" s="524">
        <v>2010</v>
      </c>
      <c r="K132" s="524">
        <v>2011</v>
      </c>
      <c r="L132" s="524">
        <v>2012</v>
      </c>
      <c r="M132" s="524">
        <v>2013</v>
      </c>
      <c r="N132" s="524">
        <v>2014</v>
      </c>
      <c r="O132" s="524">
        <v>2015</v>
      </c>
      <c r="P132" s="524">
        <v>2016</v>
      </c>
      <c r="Q132" s="524">
        <v>2017</v>
      </c>
      <c r="R132" s="1299">
        <v>2018</v>
      </c>
      <c r="S132" s="524">
        <v>2019</v>
      </c>
      <c r="T132" s="524">
        <v>2020</v>
      </c>
      <c r="U132" s="1087">
        <v>2021</v>
      </c>
      <c r="V132" s="499"/>
      <c r="W132" s="499"/>
      <c r="X132" s="499"/>
      <c r="Y132" s="499"/>
      <c r="Z132" s="499"/>
      <c r="AA132" s="499"/>
      <c r="AB132" s="499"/>
    </row>
    <row r="133" spans="2:28">
      <c r="B133" s="497" t="s">
        <v>127</v>
      </c>
      <c r="C133" s="514"/>
      <c r="D133" s="603">
        <v>3333834</v>
      </c>
      <c r="E133" s="603">
        <v>3806771</v>
      </c>
      <c r="F133" s="603">
        <v>4055596</v>
      </c>
      <c r="G133" s="603">
        <v>4365942</v>
      </c>
      <c r="H133" s="603">
        <v>4695731</v>
      </c>
      <c r="I133" s="603">
        <v>4495138</v>
      </c>
      <c r="J133" s="603">
        <v>5292028</v>
      </c>
      <c r="K133" s="603">
        <v>5292322</v>
      </c>
      <c r="L133" s="603">
        <v>5517748</v>
      </c>
      <c r="M133" s="603">
        <v>5577737</v>
      </c>
      <c r="N133" s="603">
        <v>5764991</v>
      </c>
      <c r="O133" s="603">
        <v>6042750</v>
      </c>
      <c r="P133" s="603">
        <v>6020808</v>
      </c>
      <c r="Q133" s="603">
        <v>6294311</v>
      </c>
      <c r="R133" s="1300">
        <v>6586184</v>
      </c>
      <c r="S133" s="603">
        <v>6850874</v>
      </c>
      <c r="T133" s="603">
        <v>6811733</v>
      </c>
      <c r="U133" s="1108">
        <v>7162661</v>
      </c>
      <c r="V133" s="589"/>
      <c r="W133" s="589"/>
      <c r="X133" s="589"/>
      <c r="Y133" s="499"/>
      <c r="Z133" s="589"/>
      <c r="AA133" s="589"/>
      <c r="AB133" s="589"/>
    </row>
    <row r="134" spans="2:28">
      <c r="B134" s="599" t="s">
        <v>56</v>
      </c>
      <c r="C134" s="581"/>
      <c r="D134" s="548">
        <v>423081</v>
      </c>
      <c r="E134" s="548">
        <v>427078</v>
      </c>
      <c r="F134" s="548">
        <v>408674</v>
      </c>
      <c r="G134" s="548">
        <v>396291</v>
      </c>
      <c r="H134" s="548">
        <v>391002</v>
      </c>
      <c r="I134" s="548">
        <v>348596</v>
      </c>
      <c r="J134" s="548">
        <v>344598</v>
      </c>
      <c r="K134" s="548">
        <v>342610</v>
      </c>
      <c r="L134" s="548">
        <v>342796</v>
      </c>
      <c r="M134" s="548">
        <v>328436</v>
      </c>
      <c r="N134" s="548">
        <v>325989</v>
      </c>
      <c r="O134" s="548">
        <v>318721</v>
      </c>
      <c r="P134" s="548">
        <v>318381</v>
      </c>
      <c r="Q134" s="548">
        <v>318479</v>
      </c>
      <c r="R134" s="1301">
        <v>313567</v>
      </c>
      <c r="S134" s="548">
        <v>307969</v>
      </c>
      <c r="T134" s="548">
        <v>288472</v>
      </c>
      <c r="U134" s="1166">
        <v>289200</v>
      </c>
      <c r="V134" s="589"/>
      <c r="W134" s="589"/>
      <c r="X134" s="589"/>
      <c r="Y134" s="499"/>
      <c r="Z134" s="589"/>
      <c r="AA134" s="589"/>
      <c r="AB134" s="589"/>
    </row>
    <row r="135" spans="2:28">
      <c r="B135" s="599" t="s">
        <v>121</v>
      </c>
      <c r="C135" s="581"/>
      <c r="D135" s="548">
        <v>140115</v>
      </c>
      <c r="E135" s="548">
        <v>160921</v>
      </c>
      <c r="F135" s="548">
        <v>166189</v>
      </c>
      <c r="G135" s="548">
        <v>172469</v>
      </c>
      <c r="H135" s="548">
        <v>170632</v>
      </c>
      <c r="I135" s="548">
        <v>163523</v>
      </c>
      <c r="J135" s="548">
        <v>170101</v>
      </c>
      <c r="K135" s="548">
        <v>178924</v>
      </c>
      <c r="L135" s="548">
        <v>188915</v>
      </c>
      <c r="M135" s="548">
        <v>204589</v>
      </c>
      <c r="N135" s="548">
        <v>210292</v>
      </c>
      <c r="O135" s="548">
        <v>213694</v>
      </c>
      <c r="P135" s="548">
        <v>208830</v>
      </c>
      <c r="Q135" s="548">
        <v>204775</v>
      </c>
      <c r="R135" s="1301">
        <v>209992</v>
      </c>
      <c r="S135" s="548">
        <v>218975</v>
      </c>
      <c r="T135" s="548">
        <v>226759</v>
      </c>
      <c r="U135" s="1166">
        <v>237998</v>
      </c>
      <c r="V135" s="589"/>
      <c r="W135" s="589"/>
      <c r="X135" s="589"/>
      <c r="Y135" s="499"/>
      <c r="Z135" s="589"/>
      <c r="AA135" s="589"/>
      <c r="AB135" s="589"/>
    </row>
    <row r="136" spans="2:28">
      <c r="B136" s="599" t="s">
        <v>58</v>
      </c>
      <c r="C136" s="581"/>
      <c r="D136" s="548">
        <v>130384</v>
      </c>
      <c r="E136" s="548">
        <v>173327</v>
      </c>
      <c r="F136" s="548">
        <v>210501</v>
      </c>
      <c r="G136" s="548">
        <v>245161</v>
      </c>
      <c r="H136" s="548">
        <v>289838</v>
      </c>
      <c r="I136" s="548">
        <v>314604</v>
      </c>
      <c r="J136" s="548">
        <v>391178</v>
      </c>
      <c r="K136" s="548">
        <v>526412</v>
      </c>
      <c r="L136" s="548">
        <v>652777</v>
      </c>
      <c r="M136" s="548">
        <v>825136</v>
      </c>
      <c r="N136" s="548">
        <v>928177</v>
      </c>
      <c r="O136" s="548">
        <v>1101864</v>
      </c>
      <c r="P136" s="548">
        <v>1338503</v>
      </c>
      <c r="Q136" s="548">
        <v>1381594</v>
      </c>
      <c r="R136" s="1301">
        <v>1542002</v>
      </c>
      <c r="S136" s="548">
        <v>1400661</v>
      </c>
      <c r="T136" s="548">
        <v>1497159</v>
      </c>
      <c r="U136" s="1166">
        <v>1585663</v>
      </c>
      <c r="V136" s="589"/>
      <c r="W136" s="589"/>
      <c r="X136" s="589"/>
      <c r="Y136" s="499"/>
      <c r="Z136" s="589"/>
      <c r="AA136" s="589"/>
      <c r="AB136" s="589"/>
    </row>
    <row r="137" spans="2:28">
      <c r="B137" s="599" t="s">
        <v>59</v>
      </c>
      <c r="C137" s="581"/>
      <c r="D137" s="548">
        <v>356943</v>
      </c>
      <c r="E137" s="548">
        <v>390733</v>
      </c>
      <c r="F137" s="548">
        <v>425967</v>
      </c>
      <c r="G137" s="548">
        <v>456154</v>
      </c>
      <c r="H137" s="548">
        <v>456321</v>
      </c>
      <c r="I137" s="548">
        <v>456106</v>
      </c>
      <c r="J137" s="548">
        <v>490226</v>
      </c>
      <c r="K137" s="548">
        <v>503582</v>
      </c>
      <c r="L137" s="548">
        <v>542815</v>
      </c>
      <c r="M137" s="548">
        <v>571612</v>
      </c>
      <c r="N137" s="548">
        <v>578802</v>
      </c>
      <c r="O137" s="548">
        <v>589410</v>
      </c>
      <c r="P137" s="548">
        <v>605571</v>
      </c>
      <c r="Q137" s="548">
        <v>606956</v>
      </c>
      <c r="R137" s="1301">
        <v>597141</v>
      </c>
      <c r="S137" s="548">
        <v>621453</v>
      </c>
      <c r="T137" s="548">
        <v>597172</v>
      </c>
      <c r="U137" s="1166">
        <v>591473</v>
      </c>
      <c r="V137" s="589"/>
      <c r="W137" s="589"/>
      <c r="X137" s="589"/>
      <c r="Y137" s="499"/>
      <c r="Z137" s="589"/>
      <c r="AA137" s="589"/>
      <c r="AB137" s="589"/>
    </row>
    <row r="138" spans="2:28">
      <c r="B138" s="501" t="s">
        <v>51</v>
      </c>
      <c r="C138" s="510"/>
      <c r="D138" s="538">
        <v>244698</v>
      </c>
      <c r="E138" s="538">
        <v>359972</v>
      </c>
      <c r="F138" s="538">
        <v>396514</v>
      </c>
      <c r="G138" s="538">
        <v>356166</v>
      </c>
      <c r="H138" s="538">
        <v>367509</v>
      </c>
      <c r="I138" s="538">
        <v>304100</v>
      </c>
      <c r="J138" s="538">
        <v>311994</v>
      </c>
      <c r="K138" s="538">
        <v>399369</v>
      </c>
      <c r="L138" s="538">
        <v>444364</v>
      </c>
      <c r="M138" s="538">
        <v>468035</v>
      </c>
      <c r="N138" s="538">
        <v>456319</v>
      </c>
      <c r="O138" s="538">
        <v>456283</v>
      </c>
      <c r="P138" s="538">
        <v>454968</v>
      </c>
      <c r="Q138" s="538">
        <v>452866</v>
      </c>
      <c r="R138" s="1298">
        <v>466298</v>
      </c>
      <c r="S138" s="538">
        <v>474073</v>
      </c>
      <c r="T138" s="538">
        <v>481642</v>
      </c>
      <c r="U138" s="1167">
        <v>444553</v>
      </c>
      <c r="V138" s="589"/>
      <c r="W138" s="589"/>
      <c r="X138" s="589"/>
      <c r="Y138" s="499"/>
      <c r="Z138" s="589"/>
      <c r="AA138" s="589"/>
      <c r="AB138" s="589"/>
    </row>
    <row r="139" spans="2:28">
      <c r="B139" s="515" t="s">
        <v>52</v>
      </c>
      <c r="C139" s="517"/>
      <c r="D139" s="604">
        <f>SUM(D133:D138)</f>
        <v>4629055</v>
      </c>
      <c r="E139" s="604">
        <f t="shared" ref="E139:T139" si="70">SUM(E133:E138)</f>
        <v>5318802</v>
      </c>
      <c r="F139" s="604">
        <f t="shared" si="70"/>
        <v>5663441</v>
      </c>
      <c r="G139" s="604">
        <f t="shared" si="70"/>
        <v>5992183</v>
      </c>
      <c r="H139" s="604">
        <f t="shared" si="70"/>
        <v>6371033</v>
      </c>
      <c r="I139" s="604">
        <f t="shared" si="70"/>
        <v>6082067</v>
      </c>
      <c r="J139" s="604">
        <f t="shared" si="70"/>
        <v>7000125</v>
      </c>
      <c r="K139" s="604">
        <f t="shared" si="70"/>
        <v>7243219</v>
      </c>
      <c r="L139" s="604">
        <f t="shared" si="70"/>
        <v>7689415</v>
      </c>
      <c r="M139" s="604">
        <f t="shared" si="70"/>
        <v>7975545</v>
      </c>
      <c r="N139" s="604">
        <f t="shared" si="70"/>
        <v>8264570</v>
      </c>
      <c r="O139" s="604">
        <f t="shared" si="70"/>
        <v>8722722</v>
      </c>
      <c r="P139" s="604">
        <f t="shared" si="70"/>
        <v>8947061</v>
      </c>
      <c r="Q139" s="604">
        <f t="shared" si="70"/>
        <v>9258981</v>
      </c>
      <c r="R139" s="1302">
        <f t="shared" si="70"/>
        <v>9715184</v>
      </c>
      <c r="S139" s="604">
        <f t="shared" si="70"/>
        <v>9874005</v>
      </c>
      <c r="T139" s="604">
        <f t="shared" si="70"/>
        <v>9902937</v>
      </c>
      <c r="U139" s="1168">
        <f>SUM(U133:U138)</f>
        <v>10311548</v>
      </c>
      <c r="V139" s="589"/>
      <c r="W139" s="589"/>
      <c r="X139" s="589"/>
      <c r="Y139" s="499"/>
      <c r="Z139" s="589"/>
      <c r="AA139" s="589"/>
      <c r="AB139" s="589"/>
    </row>
    <row r="141" spans="2:28">
      <c r="Q141" s="605"/>
      <c r="R141" s="1303"/>
      <c r="S141" s="605"/>
    </row>
    <row r="142" spans="2:28">
      <c r="B142" s="499"/>
    </row>
    <row r="143" spans="2:28">
      <c r="B143" s="499"/>
    </row>
    <row r="144" spans="2:28">
      <c r="B144" s="499"/>
      <c r="N144" s="605"/>
      <c r="O144" s="605"/>
      <c r="P144" s="605"/>
      <c r="Q144" s="605"/>
      <c r="R144" s="1303"/>
      <c r="S144" s="605"/>
    </row>
    <row r="145" spans="2:19">
      <c r="B145" s="499"/>
      <c r="N145" s="605"/>
      <c r="O145" s="605"/>
      <c r="P145" s="605"/>
      <c r="Q145" s="605"/>
      <c r="R145" s="1303"/>
      <c r="S145" s="605"/>
    </row>
    <row r="146" spans="2:19">
      <c r="B146" s="499"/>
      <c r="N146" s="605"/>
      <c r="O146" s="605"/>
      <c r="P146" s="605"/>
      <c r="Q146" s="605"/>
      <c r="R146" s="1303"/>
      <c r="S146" s="605"/>
    </row>
    <row r="147" spans="2:19">
      <c r="B147" s="499"/>
      <c r="N147" s="605"/>
      <c r="O147" s="605"/>
      <c r="P147" s="605"/>
      <c r="Q147" s="605"/>
      <c r="R147" s="1303"/>
      <c r="S147" s="605"/>
    </row>
    <row r="148" spans="2:19">
      <c r="B148" s="499"/>
    </row>
    <row r="149" spans="2:19">
      <c r="B149" s="499"/>
      <c r="P149" s="605"/>
      <c r="Q149" s="605"/>
      <c r="R149" s="1303"/>
      <c r="S149" s="605"/>
    </row>
    <row r="150" spans="2:19">
      <c r="B150" s="499"/>
      <c r="P150" s="605"/>
      <c r="Q150" s="605"/>
      <c r="R150" s="1303"/>
      <c r="S150" s="605"/>
    </row>
    <row r="151" spans="2:19">
      <c r="B151" s="499"/>
      <c r="P151" s="605"/>
      <c r="Q151" s="605"/>
      <c r="R151" s="1303"/>
      <c r="S151" s="605"/>
    </row>
    <row r="152" spans="2:19">
      <c r="B152" s="499"/>
      <c r="P152" s="605"/>
      <c r="Q152" s="605"/>
      <c r="R152" s="1303"/>
      <c r="S152" s="605"/>
    </row>
    <row r="153" spans="2:19">
      <c r="B153" s="499"/>
    </row>
    <row r="154" spans="2:19">
      <c r="B154" s="499"/>
    </row>
    <row r="155" spans="2:19">
      <c r="B155" s="499"/>
    </row>
    <row r="156" spans="2:19">
      <c r="B156" s="499"/>
      <c r="N156" s="605"/>
      <c r="O156" s="605"/>
      <c r="P156" s="605"/>
      <c r="Q156" s="605"/>
      <c r="R156" s="1303"/>
      <c r="S156" s="605"/>
    </row>
    <row r="157" spans="2:19">
      <c r="B157" s="499"/>
      <c r="N157" s="605"/>
      <c r="O157" s="605"/>
      <c r="P157" s="605"/>
      <c r="Q157" s="605"/>
      <c r="R157" s="1303"/>
      <c r="S157" s="605"/>
    </row>
    <row r="158" spans="2:19">
      <c r="B158" s="499"/>
      <c r="N158" s="605"/>
      <c r="O158" s="605"/>
      <c r="P158" s="605"/>
      <c r="Q158" s="605"/>
      <c r="R158" s="1303"/>
      <c r="S158" s="605"/>
    </row>
    <row r="159" spans="2:19">
      <c r="B159" s="499"/>
      <c r="N159" s="605"/>
      <c r="O159" s="605"/>
      <c r="P159" s="605"/>
      <c r="Q159" s="605"/>
      <c r="R159" s="1303"/>
      <c r="S159" s="605"/>
    </row>
    <row r="160" spans="2:19">
      <c r="B160" s="499"/>
      <c r="N160" s="605"/>
      <c r="O160" s="605"/>
      <c r="P160" s="605"/>
      <c r="Q160" s="605"/>
      <c r="R160" s="1303"/>
      <c r="S160" s="605"/>
    </row>
    <row r="161" spans="2:19">
      <c r="B161" s="499"/>
      <c r="N161" s="605"/>
      <c r="O161" s="605"/>
      <c r="P161" s="605"/>
      <c r="Q161" s="605"/>
      <c r="R161" s="1303"/>
      <c r="S161" s="605"/>
    </row>
    <row r="162" spans="2:19">
      <c r="B162" s="499"/>
      <c r="N162" s="605"/>
      <c r="O162" s="605"/>
      <c r="P162" s="605"/>
      <c r="Q162" s="605"/>
      <c r="R162" s="1303"/>
      <c r="S162" s="605"/>
    </row>
    <row r="163" spans="2:19">
      <c r="B163" s="499"/>
    </row>
    <row r="164" spans="2:19">
      <c r="B164" s="499"/>
      <c r="P164" s="605"/>
      <c r="Q164" s="605"/>
      <c r="R164" s="1303"/>
      <c r="S164" s="605"/>
    </row>
    <row r="165" spans="2:19">
      <c r="B165" s="499"/>
      <c r="P165" s="605"/>
      <c r="Q165" s="605"/>
      <c r="R165" s="1303"/>
      <c r="S165" s="605"/>
    </row>
    <row r="166" spans="2:19">
      <c r="B166" s="499"/>
      <c r="P166" s="605"/>
      <c r="Q166" s="605"/>
      <c r="R166" s="1303"/>
      <c r="S166" s="605"/>
    </row>
    <row r="167" spans="2:19">
      <c r="B167" s="499"/>
      <c r="P167" s="605"/>
      <c r="Q167" s="605"/>
      <c r="R167" s="1303"/>
      <c r="S167" s="605"/>
    </row>
    <row r="168" spans="2:19">
      <c r="B168" s="499"/>
      <c r="P168" s="605"/>
      <c r="Q168" s="605"/>
      <c r="R168" s="1303"/>
      <c r="S168" s="605"/>
    </row>
    <row r="169" spans="2:19">
      <c r="B169" s="499"/>
      <c r="P169" s="605"/>
      <c r="Q169" s="605"/>
      <c r="R169" s="1303"/>
      <c r="S169" s="605"/>
    </row>
    <row r="170" spans="2:19">
      <c r="B170" s="499"/>
      <c r="P170" s="605"/>
      <c r="Q170" s="605"/>
      <c r="R170" s="1303"/>
      <c r="S170" s="605"/>
    </row>
    <row r="171" spans="2:19">
      <c r="B171" s="499"/>
    </row>
    <row r="172" spans="2:19">
      <c r="B172" s="499"/>
    </row>
    <row r="173" spans="2:19">
      <c r="B173" s="499"/>
    </row>
    <row r="174" spans="2:19">
      <c r="B174" s="499"/>
      <c r="P174" s="605"/>
      <c r="Q174" s="605"/>
      <c r="R174" s="1303"/>
      <c r="S174" s="605"/>
    </row>
    <row r="175" spans="2:19">
      <c r="B175" s="499"/>
      <c r="P175" s="605"/>
      <c r="Q175" s="605"/>
      <c r="R175" s="1303"/>
      <c r="S175" s="605"/>
    </row>
    <row r="176" spans="2:19">
      <c r="B176" s="499"/>
      <c r="P176" s="605"/>
      <c r="Q176" s="605"/>
      <c r="R176" s="1303"/>
      <c r="S176" s="605"/>
    </row>
    <row r="177" spans="2:19">
      <c r="B177" s="499"/>
      <c r="P177" s="605"/>
      <c r="Q177" s="605"/>
      <c r="R177" s="1303"/>
      <c r="S177" s="605"/>
    </row>
    <row r="178" spans="2:19">
      <c r="B178" s="499"/>
      <c r="P178" s="605"/>
      <c r="Q178" s="605"/>
      <c r="R178" s="1303"/>
      <c r="S178" s="605"/>
    </row>
    <row r="179" spans="2:19">
      <c r="B179" s="499"/>
      <c r="P179" s="605"/>
      <c r="Q179" s="605"/>
      <c r="R179" s="1303"/>
      <c r="S179" s="605"/>
    </row>
    <row r="180" spans="2:19">
      <c r="B180" s="499"/>
      <c r="P180" s="605"/>
      <c r="Q180" s="605"/>
      <c r="R180" s="1303"/>
      <c r="S180" s="605"/>
    </row>
    <row r="181" spans="2:19">
      <c r="B181" s="499"/>
    </row>
    <row r="182" spans="2:19">
      <c r="B182" s="499"/>
      <c r="P182" s="605"/>
      <c r="Q182" s="605"/>
      <c r="R182" s="1303"/>
      <c r="S182" s="605"/>
    </row>
    <row r="183" spans="2:19">
      <c r="B183" s="499"/>
      <c r="P183" s="605"/>
      <c r="Q183" s="605"/>
      <c r="R183" s="1303"/>
      <c r="S183" s="605"/>
    </row>
    <row r="184" spans="2:19">
      <c r="B184" s="499"/>
      <c r="P184" s="605"/>
      <c r="Q184" s="605"/>
      <c r="R184" s="1303"/>
      <c r="S184" s="605"/>
    </row>
    <row r="185" spans="2:19">
      <c r="B185" s="499"/>
      <c r="P185" s="605"/>
      <c r="Q185" s="605"/>
      <c r="R185" s="1303"/>
      <c r="S185" s="605"/>
    </row>
    <row r="186" spans="2:19">
      <c r="P186" s="605"/>
      <c r="Q186" s="605"/>
      <c r="R186" s="1303"/>
      <c r="S186" s="605"/>
    </row>
    <row r="187" spans="2:19">
      <c r="P187" s="605"/>
      <c r="Q187" s="605"/>
      <c r="R187" s="1303"/>
      <c r="S187" s="605"/>
    </row>
    <row r="188" spans="2:19">
      <c r="P188" s="605"/>
      <c r="Q188" s="605"/>
      <c r="R188" s="1303"/>
      <c r="S188" s="605"/>
    </row>
  </sheetData>
  <hyperlinks>
    <hyperlink ref="U1" location="Content!A1" display="ToC" xr:uid="{2D499B1A-22F8-4D8E-9FE1-3C15F1A1E6DD}"/>
  </hyperlinks>
  <pageMargins left="0.7" right="0.7" top="0.75" bottom="0.75" header="0.3" footer="0.3"/>
  <pageSetup orientation="portrait" r:id="rId1"/>
  <ignoredErrors>
    <ignoredError sqref="U121 U130 U139 U67 U4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EFB0-446E-4221-8E68-14464F0E3DF5}">
  <dimension ref="A1:AC97"/>
  <sheetViews>
    <sheetView zoomScale="85" zoomScaleNormal="85" workbookViewId="0">
      <pane xSplit="2" ySplit="7" topLeftCell="C8" activePane="bottomRight" state="frozenSplit"/>
      <selection pane="topRight" activeCell="O1" sqref="O1"/>
      <selection pane="bottomLeft" activeCell="A23" sqref="A23"/>
      <selection pane="bottomRight" activeCell="S22" sqref="S22"/>
    </sheetView>
  </sheetViews>
  <sheetFormatPr defaultRowHeight="15"/>
  <cols>
    <col min="1" max="1" width="15.5703125" customWidth="1"/>
    <col min="2" max="2" width="14.5703125" customWidth="1"/>
    <col min="3" max="27" width="9.7109375" customWidth="1"/>
    <col min="28" max="28" width="10" customWidth="1"/>
  </cols>
  <sheetData>
    <row r="1" spans="1:28" ht="21">
      <c r="A1" s="496" t="s">
        <v>32</v>
      </c>
      <c r="AB1" s="888" t="s">
        <v>458</v>
      </c>
    </row>
    <row r="2" spans="1:28" ht="18.75">
      <c r="A2" s="495" t="s">
        <v>294</v>
      </c>
    </row>
    <row r="3" spans="1:28" ht="18.75">
      <c r="A3" s="495" t="s">
        <v>318</v>
      </c>
    </row>
    <row r="4" spans="1:28" ht="18.75">
      <c r="A4" s="495" t="s">
        <v>319</v>
      </c>
      <c r="AA4" s="1086"/>
      <c r="AB4" s="1086"/>
    </row>
    <row r="5" spans="1:28">
      <c r="AA5" s="1086"/>
      <c r="AB5" s="1086"/>
    </row>
    <row r="6" spans="1:28" ht="18.75">
      <c r="A6" s="495" t="s">
        <v>321</v>
      </c>
      <c r="AA6" s="1086"/>
      <c r="AB6" s="1086"/>
    </row>
    <row r="7" spans="1:28" ht="15.75">
      <c r="A7" s="610" t="s">
        <v>53</v>
      </c>
      <c r="B7" s="514" t="s">
        <v>322</v>
      </c>
      <c r="C7" s="514">
        <v>1996</v>
      </c>
      <c r="D7" s="534">
        <f>C7+1</f>
        <v>1997</v>
      </c>
      <c r="E7" s="534">
        <f>D7+1</f>
        <v>1998</v>
      </c>
      <c r="F7" s="534">
        <f t="shared" ref="F7:AB7" si="0">E7+1</f>
        <v>1999</v>
      </c>
      <c r="G7" s="534">
        <f t="shared" si="0"/>
        <v>2000</v>
      </c>
      <c r="H7" s="534">
        <f t="shared" si="0"/>
        <v>2001</v>
      </c>
      <c r="I7" s="534">
        <f t="shared" si="0"/>
        <v>2002</v>
      </c>
      <c r="J7" s="534">
        <f t="shared" si="0"/>
        <v>2003</v>
      </c>
      <c r="K7" s="534">
        <f t="shared" si="0"/>
        <v>2004</v>
      </c>
      <c r="L7" s="534">
        <f t="shared" si="0"/>
        <v>2005</v>
      </c>
      <c r="M7" s="534">
        <f t="shared" si="0"/>
        <v>2006</v>
      </c>
      <c r="N7" s="534">
        <f t="shared" si="0"/>
        <v>2007</v>
      </c>
      <c r="O7" s="534">
        <f t="shared" si="0"/>
        <v>2008</v>
      </c>
      <c r="P7" s="534">
        <f t="shared" si="0"/>
        <v>2009</v>
      </c>
      <c r="Q7" s="534">
        <f t="shared" si="0"/>
        <v>2010</v>
      </c>
      <c r="R7" s="534">
        <f t="shared" si="0"/>
        <v>2011</v>
      </c>
      <c r="S7" s="534">
        <f t="shared" si="0"/>
        <v>2012</v>
      </c>
      <c r="T7" s="534">
        <f t="shared" si="0"/>
        <v>2013</v>
      </c>
      <c r="U7" s="534">
        <f t="shared" si="0"/>
        <v>2014</v>
      </c>
      <c r="V7" s="534">
        <f t="shared" si="0"/>
        <v>2015</v>
      </c>
      <c r="W7" s="534">
        <f t="shared" si="0"/>
        <v>2016</v>
      </c>
      <c r="X7" s="534">
        <f t="shared" si="0"/>
        <v>2017</v>
      </c>
      <c r="Y7" s="534">
        <f t="shared" si="0"/>
        <v>2018</v>
      </c>
      <c r="Z7" s="534">
        <f t="shared" si="0"/>
        <v>2019</v>
      </c>
      <c r="AA7" s="1106">
        <f t="shared" si="0"/>
        <v>2020</v>
      </c>
      <c r="AB7" s="1106">
        <f t="shared" si="0"/>
        <v>2021</v>
      </c>
    </row>
    <row r="8" spans="1:28" ht="15.75">
      <c r="A8" s="610" t="s">
        <v>55</v>
      </c>
      <c r="B8" s="613" t="s">
        <v>55</v>
      </c>
      <c r="C8" s="613"/>
      <c r="D8" s="547"/>
      <c r="E8" s="547"/>
      <c r="F8" s="547"/>
      <c r="G8" s="547"/>
      <c r="H8" s="547"/>
      <c r="I8" s="547">
        <v>70730</v>
      </c>
      <c r="J8" s="547">
        <v>81662</v>
      </c>
      <c r="K8" s="547">
        <v>78906</v>
      </c>
      <c r="L8" s="547">
        <v>78643</v>
      </c>
      <c r="M8" s="547">
        <v>81983</v>
      </c>
      <c r="N8" s="547">
        <v>82281</v>
      </c>
      <c r="O8" s="547">
        <v>74440</v>
      </c>
      <c r="P8" s="547">
        <v>87736</v>
      </c>
      <c r="Q8" s="547">
        <v>68264</v>
      </c>
      <c r="R8" s="547">
        <v>76940</v>
      </c>
      <c r="S8" s="547">
        <v>78608</v>
      </c>
      <c r="T8" s="547">
        <v>82827</v>
      </c>
      <c r="U8" s="547">
        <v>81792</v>
      </c>
      <c r="V8" s="547">
        <v>85705</v>
      </c>
      <c r="W8" s="547">
        <v>99909</v>
      </c>
      <c r="X8" s="547">
        <v>98946</v>
      </c>
      <c r="Y8" s="547">
        <v>107881</v>
      </c>
      <c r="Z8" s="547">
        <v>113082</v>
      </c>
      <c r="AA8" s="1225">
        <v>111744</v>
      </c>
      <c r="AB8" s="1108">
        <v>105336</v>
      </c>
    </row>
    <row r="9" spans="1:28" ht="15.75">
      <c r="A9" s="611"/>
      <c r="B9" s="581" t="s">
        <v>56</v>
      </c>
      <c r="C9" s="581"/>
      <c r="D9" s="548"/>
      <c r="E9" s="548"/>
      <c r="F9" s="548"/>
      <c r="G9" s="548"/>
      <c r="H9" s="548"/>
      <c r="I9" s="548">
        <v>4466</v>
      </c>
      <c r="J9" s="548">
        <v>4770</v>
      </c>
      <c r="K9" s="548">
        <v>4711</v>
      </c>
      <c r="L9" s="548">
        <v>4580</v>
      </c>
      <c r="M9" s="548">
        <v>5780</v>
      </c>
      <c r="N9" s="548">
        <v>8243</v>
      </c>
      <c r="O9" s="548">
        <v>10856</v>
      </c>
      <c r="P9" s="548">
        <v>13177</v>
      </c>
      <c r="Q9" s="548">
        <v>15626</v>
      </c>
      <c r="R9" s="548">
        <v>17292</v>
      </c>
      <c r="S9" s="548">
        <v>20329</v>
      </c>
      <c r="T9" s="548">
        <v>20679</v>
      </c>
      <c r="U9" s="548">
        <v>19917</v>
      </c>
      <c r="V9" s="548">
        <v>16321</v>
      </c>
      <c r="W9" s="548">
        <v>16086</v>
      </c>
      <c r="X9" s="548">
        <v>15584</v>
      </c>
      <c r="Y9" s="548">
        <v>14653</v>
      </c>
      <c r="Z9" s="548">
        <v>13485</v>
      </c>
      <c r="AA9" s="1226">
        <v>13268</v>
      </c>
      <c r="AB9" s="1166">
        <v>14334</v>
      </c>
    </row>
    <row r="10" spans="1:28" ht="15.75">
      <c r="A10" s="611"/>
      <c r="B10" s="581" t="s">
        <v>57</v>
      </c>
      <c r="C10" s="581"/>
      <c r="D10" s="548"/>
      <c r="E10" s="548"/>
      <c r="F10" s="548"/>
      <c r="G10" s="548"/>
      <c r="H10" s="548"/>
      <c r="I10" s="548">
        <v>2766</v>
      </c>
      <c r="J10" s="548">
        <v>2848</v>
      </c>
      <c r="K10" s="548">
        <v>3168</v>
      </c>
      <c r="L10" s="548">
        <v>4431</v>
      </c>
      <c r="M10" s="548">
        <v>7266</v>
      </c>
      <c r="N10" s="548">
        <v>6791</v>
      </c>
      <c r="O10" s="548">
        <v>4773</v>
      </c>
      <c r="P10" s="548">
        <v>3113</v>
      </c>
      <c r="Q10" s="548">
        <v>3533</v>
      </c>
      <c r="R10" s="548">
        <v>4344</v>
      </c>
      <c r="S10" s="548">
        <v>6272</v>
      </c>
      <c r="T10" s="548">
        <v>7314</v>
      </c>
      <c r="U10" s="548">
        <v>7741</v>
      </c>
      <c r="V10" s="548">
        <v>6432</v>
      </c>
      <c r="W10" s="548">
        <v>6541</v>
      </c>
      <c r="X10" s="548">
        <v>7458</v>
      </c>
      <c r="Y10" s="548">
        <v>7467</v>
      </c>
      <c r="Z10" s="548">
        <v>7706</v>
      </c>
      <c r="AA10" s="1226">
        <v>7478</v>
      </c>
      <c r="AB10" s="1166">
        <v>8342</v>
      </c>
    </row>
    <row r="11" spans="1:28" ht="15.75">
      <c r="A11" s="611"/>
      <c r="B11" s="581" t="s">
        <v>58</v>
      </c>
      <c r="C11" s="581"/>
      <c r="D11" s="548"/>
      <c r="E11" s="548"/>
      <c r="F11" s="548"/>
      <c r="G11" s="548"/>
      <c r="H11" s="548"/>
      <c r="I11" s="548">
        <v>4534</v>
      </c>
      <c r="J11" s="548">
        <v>13517</v>
      </c>
      <c r="K11" s="548">
        <v>9031</v>
      </c>
      <c r="L11" s="548">
        <v>9097</v>
      </c>
      <c r="M11" s="548">
        <v>8151</v>
      </c>
      <c r="N11" s="548">
        <v>8844</v>
      </c>
      <c r="O11" s="548">
        <v>10003</v>
      </c>
      <c r="P11" s="548">
        <v>0</v>
      </c>
      <c r="Q11" s="548">
        <v>13628</v>
      </c>
      <c r="R11" s="548">
        <v>15414</v>
      </c>
      <c r="S11" s="548">
        <v>19975</v>
      </c>
      <c r="T11" s="548">
        <v>18321</v>
      </c>
      <c r="U11" s="548">
        <v>19615</v>
      </c>
      <c r="V11" s="548">
        <v>26726</v>
      </c>
      <c r="W11" s="548">
        <v>30301</v>
      </c>
      <c r="X11" s="548">
        <v>27091</v>
      </c>
      <c r="Y11" s="548">
        <v>22978</v>
      </c>
      <c r="Z11" s="548">
        <v>24717</v>
      </c>
      <c r="AA11" s="1226">
        <v>24144</v>
      </c>
      <c r="AB11" s="1166">
        <v>30248</v>
      </c>
    </row>
    <row r="12" spans="1:28" ht="15.75">
      <c r="A12" s="611"/>
      <c r="B12" s="581" t="s">
        <v>59</v>
      </c>
      <c r="C12" s="581"/>
      <c r="D12" s="548"/>
      <c r="E12" s="548"/>
      <c r="F12" s="548"/>
      <c r="G12" s="548"/>
      <c r="H12" s="548"/>
      <c r="I12" s="548">
        <v>29349</v>
      </c>
      <c r="J12" s="548">
        <v>29009</v>
      </c>
      <c r="K12" s="548">
        <v>27008</v>
      </c>
      <c r="L12" s="548">
        <v>22777</v>
      </c>
      <c r="M12" s="548">
        <v>26459</v>
      </c>
      <c r="N12" s="548">
        <v>23884</v>
      </c>
      <c r="O12" s="548">
        <v>21939</v>
      </c>
      <c r="P12" s="548">
        <v>23677</v>
      </c>
      <c r="Q12" s="548">
        <v>32479</v>
      </c>
      <c r="R12" s="548">
        <v>32766</v>
      </c>
      <c r="S12" s="548">
        <v>38198</v>
      </c>
      <c r="T12" s="548">
        <v>43450</v>
      </c>
      <c r="U12" s="548">
        <v>47733</v>
      </c>
      <c r="V12" s="548">
        <v>47529</v>
      </c>
      <c r="W12" s="548">
        <v>47910</v>
      </c>
      <c r="X12" s="548">
        <v>50660</v>
      </c>
      <c r="Y12" s="548">
        <v>48963</v>
      </c>
      <c r="Z12" s="548">
        <v>55638</v>
      </c>
      <c r="AA12" s="1226">
        <v>54378</v>
      </c>
      <c r="AB12" s="1166">
        <v>50571</v>
      </c>
    </row>
    <row r="13" spans="1:28" ht="15.75">
      <c r="A13" s="611"/>
      <c r="B13" s="614" t="s">
        <v>51</v>
      </c>
      <c r="C13" s="614"/>
      <c r="D13" s="549"/>
      <c r="E13" s="549"/>
      <c r="F13" s="549"/>
      <c r="G13" s="549"/>
      <c r="H13" s="549"/>
      <c r="I13" s="549">
        <v>19018</v>
      </c>
      <c r="J13" s="549">
        <v>20482</v>
      </c>
      <c r="K13" s="549">
        <v>19198</v>
      </c>
      <c r="L13" s="549">
        <v>19158</v>
      </c>
      <c r="M13" s="549">
        <v>21793</v>
      </c>
      <c r="N13" s="549">
        <v>22492</v>
      </c>
      <c r="O13" s="549">
        <v>24572</v>
      </c>
      <c r="P13" s="549">
        <v>24340</v>
      </c>
      <c r="Q13" s="549">
        <v>30449</v>
      </c>
      <c r="R13" s="549">
        <v>39874</v>
      </c>
      <c r="S13" s="549">
        <v>40541</v>
      </c>
      <c r="T13" s="549">
        <v>45415</v>
      </c>
      <c r="U13" s="549">
        <v>42433</v>
      </c>
      <c r="V13" s="549">
        <v>42092</v>
      </c>
      <c r="W13" s="549">
        <v>47491</v>
      </c>
      <c r="X13" s="549">
        <v>46371</v>
      </c>
      <c r="Y13" s="549">
        <v>51588</v>
      </c>
      <c r="Z13" s="549">
        <v>53112</v>
      </c>
      <c r="AA13" s="1227">
        <v>57303</v>
      </c>
      <c r="AB13" s="1167">
        <v>60416</v>
      </c>
    </row>
    <row r="14" spans="1:28" ht="15.75">
      <c r="A14" s="612"/>
      <c r="B14" s="510" t="s">
        <v>52</v>
      </c>
      <c r="C14" s="538">
        <v>0</v>
      </c>
      <c r="D14" s="538">
        <v>0</v>
      </c>
      <c r="E14" s="538">
        <v>0</v>
      </c>
      <c r="F14" s="538">
        <v>0</v>
      </c>
      <c r="G14" s="538">
        <v>0</v>
      </c>
      <c r="H14" s="538">
        <v>0</v>
      </c>
      <c r="I14" s="538">
        <v>130863</v>
      </c>
      <c r="J14" s="538">
        <v>152288</v>
      </c>
      <c r="K14" s="538">
        <v>142022</v>
      </c>
      <c r="L14" s="538">
        <v>138686</v>
      </c>
      <c r="M14" s="538">
        <v>151432</v>
      </c>
      <c r="N14" s="538">
        <v>152535</v>
      </c>
      <c r="O14" s="538">
        <v>146583</v>
      </c>
      <c r="P14" s="538">
        <v>152043</v>
      </c>
      <c r="Q14" s="538">
        <v>163979</v>
      </c>
      <c r="R14" s="538">
        <v>186630</v>
      </c>
      <c r="S14" s="538">
        <v>203923</v>
      </c>
      <c r="T14" s="538">
        <v>218006</v>
      </c>
      <c r="U14" s="538">
        <v>219231</v>
      </c>
      <c r="V14" s="538">
        <v>224805</v>
      </c>
      <c r="W14" s="538">
        <v>248238</v>
      </c>
      <c r="X14" s="538">
        <v>246110</v>
      </c>
      <c r="Y14" s="538">
        <v>253530</v>
      </c>
      <c r="Z14" s="538">
        <v>267740</v>
      </c>
      <c r="AA14" s="1167">
        <v>268315</v>
      </c>
      <c r="AB14" s="1168">
        <f>SUM(AB8:AB13)</f>
        <v>269247</v>
      </c>
    </row>
    <row r="15" spans="1:28" ht="15.75">
      <c r="A15" s="610" t="s">
        <v>56</v>
      </c>
      <c r="B15" s="613" t="s">
        <v>55</v>
      </c>
      <c r="C15" s="547"/>
      <c r="D15" s="547"/>
      <c r="E15" s="547"/>
      <c r="F15" s="547"/>
      <c r="G15" s="547"/>
      <c r="H15" s="547"/>
      <c r="I15" s="547">
        <v>11144</v>
      </c>
      <c r="J15" s="547">
        <v>11901</v>
      </c>
      <c r="K15" s="547">
        <v>14037</v>
      </c>
      <c r="L15" s="547">
        <v>13324</v>
      </c>
      <c r="M15" s="547">
        <v>16150</v>
      </c>
      <c r="N15" s="547">
        <v>14309</v>
      </c>
      <c r="O15" s="547">
        <v>13793</v>
      </c>
      <c r="P15" s="547">
        <v>12351</v>
      </c>
      <c r="Q15" s="547">
        <v>13028</v>
      </c>
      <c r="R15" s="547">
        <v>13913</v>
      </c>
      <c r="S15" s="547">
        <v>14902</v>
      </c>
      <c r="T15" s="547">
        <v>14588</v>
      </c>
      <c r="U15" s="547">
        <v>13544</v>
      </c>
      <c r="V15" s="547">
        <v>13231</v>
      </c>
      <c r="W15" s="547">
        <v>18271</v>
      </c>
      <c r="X15" s="547">
        <v>20506</v>
      </c>
      <c r="Y15" s="547">
        <v>24230</v>
      </c>
      <c r="Z15" s="547">
        <v>25908</v>
      </c>
      <c r="AA15" s="1225">
        <v>23940</v>
      </c>
      <c r="AB15" s="1108">
        <v>19980</v>
      </c>
    </row>
    <row r="16" spans="1:28" ht="15.75">
      <c r="A16" s="611"/>
      <c r="B16" s="581" t="s">
        <v>56</v>
      </c>
      <c r="C16" s="548"/>
      <c r="D16" s="548"/>
      <c r="E16" s="548"/>
      <c r="F16" s="548"/>
      <c r="G16" s="548"/>
      <c r="H16" s="548"/>
      <c r="I16" s="548">
        <v>108515</v>
      </c>
      <c r="J16" s="548">
        <v>110835</v>
      </c>
      <c r="K16" s="548">
        <v>112527</v>
      </c>
      <c r="L16" s="548">
        <v>111088</v>
      </c>
      <c r="M16" s="548">
        <v>126804</v>
      </c>
      <c r="N16" s="548">
        <v>145040</v>
      </c>
      <c r="O16" s="548">
        <v>151765</v>
      </c>
      <c r="P16" s="548">
        <v>164459</v>
      </c>
      <c r="Q16" s="548">
        <v>187237</v>
      </c>
      <c r="R16" s="548">
        <v>197594</v>
      </c>
      <c r="S16" s="548">
        <v>224917</v>
      </c>
      <c r="T16" s="548">
        <v>225571</v>
      </c>
      <c r="U16" s="548">
        <v>177750</v>
      </c>
      <c r="V16" s="548">
        <v>146749</v>
      </c>
      <c r="W16" s="548">
        <v>160643</v>
      </c>
      <c r="X16" s="548">
        <v>156844</v>
      </c>
      <c r="Y16" s="548">
        <v>152440</v>
      </c>
      <c r="Z16" s="548">
        <v>140865</v>
      </c>
      <c r="AA16" s="1226">
        <v>140329</v>
      </c>
      <c r="AB16" s="1166">
        <v>141853</v>
      </c>
    </row>
    <row r="17" spans="1:29" ht="15.75">
      <c r="A17" s="611"/>
      <c r="B17" s="581" t="s">
        <v>57</v>
      </c>
      <c r="C17" s="548"/>
      <c r="D17" s="548"/>
      <c r="E17" s="548"/>
      <c r="F17" s="548"/>
      <c r="G17" s="548"/>
      <c r="H17" s="548"/>
      <c r="I17" s="548">
        <v>7868</v>
      </c>
      <c r="J17" s="548">
        <v>7267</v>
      </c>
      <c r="K17" s="548">
        <v>7325</v>
      </c>
      <c r="L17" s="548">
        <v>11000</v>
      </c>
      <c r="M17" s="548">
        <v>16406</v>
      </c>
      <c r="N17" s="548">
        <v>17275</v>
      </c>
      <c r="O17" s="548">
        <v>11312</v>
      </c>
      <c r="P17" s="548">
        <v>7141</v>
      </c>
      <c r="Q17" s="548">
        <v>8332</v>
      </c>
      <c r="R17" s="548">
        <v>11083</v>
      </c>
      <c r="S17" s="548">
        <v>12980</v>
      </c>
      <c r="T17" s="548">
        <v>13514</v>
      </c>
      <c r="U17" s="548">
        <v>13499</v>
      </c>
      <c r="V17" s="548">
        <v>9615</v>
      </c>
      <c r="W17" s="548">
        <v>9962</v>
      </c>
      <c r="X17" s="548">
        <v>11081</v>
      </c>
      <c r="Y17" s="548">
        <v>11239</v>
      </c>
      <c r="Z17" s="548">
        <v>11351</v>
      </c>
      <c r="AA17" s="1226">
        <v>10819</v>
      </c>
      <c r="AB17" s="1166">
        <v>11905</v>
      </c>
    </row>
    <row r="18" spans="1:29" ht="15.75">
      <c r="A18" s="611"/>
      <c r="B18" s="581" t="s">
        <v>58</v>
      </c>
      <c r="C18" s="548"/>
      <c r="D18" s="548"/>
      <c r="E18" s="548"/>
      <c r="F18" s="548"/>
      <c r="G18" s="548"/>
      <c r="H18" s="548"/>
      <c r="I18" s="548">
        <v>5871</v>
      </c>
      <c r="J18" s="548">
        <v>11538</v>
      </c>
      <c r="K18" s="548">
        <v>12490</v>
      </c>
      <c r="L18" s="548">
        <v>13883</v>
      </c>
      <c r="M18" s="548">
        <v>15099</v>
      </c>
      <c r="N18" s="548">
        <v>16174</v>
      </c>
      <c r="O18" s="548">
        <v>21999</v>
      </c>
      <c r="P18" s="548">
        <v>0</v>
      </c>
      <c r="Q18" s="548">
        <v>23890</v>
      </c>
      <c r="R18" s="548">
        <v>25387</v>
      </c>
      <c r="S18" s="548">
        <v>28863</v>
      </c>
      <c r="T18" s="548">
        <v>22609</v>
      </c>
      <c r="U18" s="548">
        <v>26501</v>
      </c>
      <c r="V18" s="548">
        <v>36418</v>
      </c>
      <c r="W18" s="548">
        <v>34967</v>
      </c>
      <c r="X18" s="548">
        <v>31090</v>
      </c>
      <c r="Y18" s="548">
        <v>28094</v>
      </c>
      <c r="Z18" s="548">
        <v>30401</v>
      </c>
      <c r="AA18" s="1226">
        <v>28955</v>
      </c>
      <c r="AB18" s="1166">
        <v>34853</v>
      </c>
    </row>
    <row r="19" spans="1:29" ht="15.75">
      <c r="A19" s="611"/>
      <c r="B19" s="581" t="s">
        <v>59</v>
      </c>
      <c r="C19" s="548"/>
      <c r="D19" s="548"/>
      <c r="E19" s="548"/>
      <c r="F19" s="548"/>
      <c r="G19" s="548"/>
      <c r="H19" s="548"/>
      <c r="I19" s="548">
        <v>34976</v>
      </c>
      <c r="J19" s="548">
        <v>35683</v>
      </c>
      <c r="K19" s="548">
        <v>35466</v>
      </c>
      <c r="L19" s="548">
        <v>30450</v>
      </c>
      <c r="M19" s="548">
        <v>37006</v>
      </c>
      <c r="N19" s="548">
        <v>33525</v>
      </c>
      <c r="O19" s="548">
        <v>33682</v>
      </c>
      <c r="P19" s="548">
        <v>35501</v>
      </c>
      <c r="Q19" s="548">
        <v>44814</v>
      </c>
      <c r="R19" s="548">
        <v>46139</v>
      </c>
      <c r="S19" s="548">
        <v>50677</v>
      </c>
      <c r="T19" s="548">
        <v>51919</v>
      </c>
      <c r="U19" s="548">
        <v>53849</v>
      </c>
      <c r="V19" s="548">
        <v>52409</v>
      </c>
      <c r="W19" s="548">
        <v>49800</v>
      </c>
      <c r="X19" s="548">
        <v>49677</v>
      </c>
      <c r="Y19" s="548">
        <v>47566</v>
      </c>
      <c r="Z19" s="548">
        <v>53542</v>
      </c>
      <c r="AA19" s="1226">
        <v>51618</v>
      </c>
      <c r="AB19" s="1166">
        <v>46339</v>
      </c>
    </row>
    <row r="20" spans="1:29" ht="15.75">
      <c r="A20" s="611"/>
      <c r="B20" s="614" t="s">
        <v>51</v>
      </c>
      <c r="C20" s="549"/>
      <c r="D20" s="549"/>
      <c r="E20" s="549"/>
      <c r="F20" s="549"/>
      <c r="G20" s="549"/>
      <c r="H20" s="549"/>
      <c r="I20" s="549">
        <v>6037</v>
      </c>
      <c r="J20" s="549">
        <v>5552</v>
      </c>
      <c r="K20" s="549">
        <v>5852</v>
      </c>
      <c r="L20" s="549">
        <v>5264</v>
      </c>
      <c r="M20" s="549">
        <v>6098</v>
      </c>
      <c r="N20" s="549">
        <v>6297</v>
      </c>
      <c r="O20" s="549">
        <v>6755</v>
      </c>
      <c r="P20" s="549">
        <v>6454</v>
      </c>
      <c r="Q20" s="549">
        <v>7695</v>
      </c>
      <c r="R20" s="549">
        <v>10468</v>
      </c>
      <c r="S20" s="549">
        <v>10673</v>
      </c>
      <c r="T20" s="549">
        <v>11475</v>
      </c>
      <c r="U20" s="549">
        <v>11216</v>
      </c>
      <c r="V20" s="549">
        <v>11529</v>
      </c>
      <c r="W20" s="549">
        <v>14127</v>
      </c>
      <c r="X20" s="549">
        <v>14651</v>
      </c>
      <c r="Y20" s="549">
        <v>18481</v>
      </c>
      <c r="Z20" s="549">
        <v>20468</v>
      </c>
      <c r="AA20" s="1227">
        <v>22320</v>
      </c>
      <c r="AB20" s="1167">
        <v>22214</v>
      </c>
    </row>
    <row r="21" spans="1:29" ht="15.75">
      <c r="A21" s="612"/>
      <c r="B21" s="510" t="s">
        <v>52</v>
      </c>
      <c r="C21" s="538">
        <v>0</v>
      </c>
      <c r="D21" s="538">
        <v>0</v>
      </c>
      <c r="E21" s="538">
        <v>0</v>
      </c>
      <c r="F21" s="538">
        <v>0</v>
      </c>
      <c r="G21" s="538">
        <v>0</v>
      </c>
      <c r="H21" s="538">
        <v>0</v>
      </c>
      <c r="I21" s="538">
        <v>174411</v>
      </c>
      <c r="J21" s="538">
        <v>182776</v>
      </c>
      <c r="K21" s="538">
        <v>187697</v>
      </c>
      <c r="L21" s="538">
        <v>185009</v>
      </c>
      <c r="M21" s="538">
        <v>217563</v>
      </c>
      <c r="N21" s="538">
        <v>232620</v>
      </c>
      <c r="O21" s="538">
        <v>239306</v>
      </c>
      <c r="P21" s="538">
        <v>225906</v>
      </c>
      <c r="Q21" s="538">
        <v>284996</v>
      </c>
      <c r="R21" s="538">
        <v>304584</v>
      </c>
      <c r="S21" s="538">
        <v>343012</v>
      </c>
      <c r="T21" s="538">
        <v>339676</v>
      </c>
      <c r="U21" s="538">
        <v>296359</v>
      </c>
      <c r="V21" s="538">
        <v>269951</v>
      </c>
      <c r="W21" s="538">
        <v>287770</v>
      </c>
      <c r="X21" s="538">
        <v>283849</v>
      </c>
      <c r="Y21" s="538">
        <v>282050</v>
      </c>
      <c r="Z21" s="538">
        <v>282535</v>
      </c>
      <c r="AA21" s="1167">
        <v>277981</v>
      </c>
      <c r="AB21" s="1168">
        <f>SUM(AB15:AB20)</f>
        <v>277144</v>
      </c>
      <c r="AC21" s="1165"/>
    </row>
    <row r="22" spans="1:29" ht="15.75">
      <c r="A22" s="610" t="s">
        <v>57</v>
      </c>
      <c r="B22" s="613" t="s">
        <v>55</v>
      </c>
      <c r="C22" s="547"/>
      <c r="D22" s="547"/>
      <c r="E22" s="547"/>
      <c r="F22" s="547"/>
      <c r="G22" s="547"/>
      <c r="H22" s="547"/>
      <c r="I22" s="547">
        <v>956</v>
      </c>
      <c r="J22" s="547">
        <v>1058</v>
      </c>
      <c r="K22" s="547">
        <v>1316</v>
      </c>
      <c r="L22" s="547">
        <v>1213</v>
      </c>
      <c r="M22" s="547">
        <v>1805</v>
      </c>
      <c r="N22" s="547">
        <v>1825</v>
      </c>
      <c r="O22" s="547">
        <v>2009</v>
      </c>
      <c r="P22" s="547">
        <v>1864</v>
      </c>
      <c r="Q22" s="547">
        <v>1972</v>
      </c>
      <c r="R22" s="547">
        <v>2075</v>
      </c>
      <c r="S22" s="547">
        <v>2203</v>
      </c>
      <c r="T22" s="547">
        <v>2441</v>
      </c>
      <c r="U22" s="547">
        <v>2338</v>
      </c>
      <c r="V22" s="547">
        <v>2393</v>
      </c>
      <c r="W22" s="547">
        <v>3662</v>
      </c>
      <c r="X22" s="547">
        <v>4910</v>
      </c>
      <c r="Y22" s="547">
        <v>6786</v>
      </c>
      <c r="Z22" s="547">
        <v>7759</v>
      </c>
      <c r="AA22" s="1225">
        <v>7705</v>
      </c>
      <c r="AB22" s="1108">
        <v>6702</v>
      </c>
    </row>
    <row r="23" spans="1:29" ht="15.75">
      <c r="A23" s="611"/>
      <c r="B23" s="581" t="s">
        <v>56</v>
      </c>
      <c r="C23" s="548"/>
      <c r="D23" s="548"/>
      <c r="E23" s="548"/>
      <c r="F23" s="548"/>
      <c r="G23" s="548"/>
      <c r="H23" s="548"/>
      <c r="I23" s="548">
        <v>136</v>
      </c>
      <c r="J23" s="548">
        <v>897</v>
      </c>
      <c r="K23" s="548">
        <v>1122</v>
      </c>
      <c r="L23" s="548">
        <v>1470</v>
      </c>
      <c r="M23" s="548">
        <v>2002</v>
      </c>
      <c r="N23" s="548">
        <v>2538</v>
      </c>
      <c r="O23" s="548">
        <v>2596</v>
      </c>
      <c r="P23" s="548">
        <v>2777</v>
      </c>
      <c r="Q23" s="548">
        <v>3505</v>
      </c>
      <c r="R23" s="548">
        <v>4048</v>
      </c>
      <c r="S23" s="548">
        <v>5165</v>
      </c>
      <c r="T23" s="548">
        <v>4984</v>
      </c>
      <c r="U23" s="548">
        <v>4336</v>
      </c>
      <c r="V23" s="548">
        <v>3886</v>
      </c>
      <c r="W23" s="548">
        <v>4292</v>
      </c>
      <c r="X23" s="548">
        <v>4232</v>
      </c>
      <c r="Y23" s="548">
        <v>4199</v>
      </c>
      <c r="Z23" s="548">
        <v>3938</v>
      </c>
      <c r="AA23" s="1226">
        <v>3960</v>
      </c>
      <c r="AB23" s="1166">
        <v>4325</v>
      </c>
    </row>
    <row r="24" spans="1:29" ht="15.75">
      <c r="A24" s="611"/>
      <c r="B24" s="581" t="s">
        <v>57</v>
      </c>
      <c r="C24" s="548"/>
      <c r="D24" s="548"/>
      <c r="E24" s="548"/>
      <c r="F24" s="548"/>
      <c r="G24" s="548"/>
      <c r="H24" s="548"/>
      <c r="I24" s="548">
        <v>30175</v>
      </c>
      <c r="J24" s="548">
        <v>30525</v>
      </c>
      <c r="K24" s="548">
        <v>35284</v>
      </c>
      <c r="L24" s="548">
        <v>53419</v>
      </c>
      <c r="M24" s="548">
        <v>89303</v>
      </c>
      <c r="N24" s="548">
        <v>91645</v>
      </c>
      <c r="O24" s="548">
        <v>61115</v>
      </c>
      <c r="P24" s="548">
        <v>42129</v>
      </c>
      <c r="Q24" s="548">
        <v>51404</v>
      </c>
      <c r="R24" s="548">
        <v>72258</v>
      </c>
      <c r="S24" s="548">
        <v>84061</v>
      </c>
      <c r="T24" s="548">
        <v>95667</v>
      </c>
      <c r="U24" s="548">
        <v>97294</v>
      </c>
      <c r="V24" s="548">
        <v>76319</v>
      </c>
      <c r="W24" s="548">
        <v>82400</v>
      </c>
      <c r="X24" s="548">
        <v>90847</v>
      </c>
      <c r="Y24" s="548">
        <v>89227</v>
      </c>
      <c r="Z24" s="548">
        <v>94852</v>
      </c>
      <c r="AA24" s="1226">
        <v>103881</v>
      </c>
      <c r="AB24" s="1166">
        <v>110351</v>
      </c>
    </row>
    <row r="25" spans="1:29" ht="15.75">
      <c r="A25" s="611"/>
      <c r="B25" s="581" t="s">
        <v>58</v>
      </c>
      <c r="C25" s="548"/>
      <c r="D25" s="548"/>
      <c r="E25" s="548"/>
      <c r="F25" s="548"/>
      <c r="G25" s="548"/>
      <c r="H25" s="548"/>
      <c r="I25" s="548">
        <v>1200</v>
      </c>
      <c r="J25" s="548">
        <v>2290</v>
      </c>
      <c r="K25" s="548">
        <v>2248</v>
      </c>
      <c r="L25" s="548">
        <v>2509</v>
      </c>
      <c r="M25" s="548">
        <v>2752</v>
      </c>
      <c r="N25" s="548">
        <v>3127</v>
      </c>
      <c r="O25" s="548">
        <v>4675</v>
      </c>
      <c r="P25" s="548">
        <v>0</v>
      </c>
      <c r="Q25" s="548">
        <v>5168</v>
      </c>
      <c r="R25" s="548">
        <v>4882</v>
      </c>
      <c r="S25" s="548">
        <v>5319</v>
      </c>
      <c r="T25" s="548">
        <v>4271</v>
      </c>
      <c r="U25" s="548">
        <v>4627</v>
      </c>
      <c r="V25" s="548">
        <v>6262</v>
      </c>
      <c r="W25" s="548">
        <v>7410</v>
      </c>
      <c r="X25" s="548">
        <v>7857</v>
      </c>
      <c r="Y25" s="548">
        <v>8623</v>
      </c>
      <c r="Z25" s="548">
        <v>9437</v>
      </c>
      <c r="AA25" s="1226">
        <v>9311</v>
      </c>
      <c r="AB25" s="1166">
        <v>11086</v>
      </c>
    </row>
    <row r="26" spans="1:29" ht="15.75">
      <c r="A26" s="611"/>
      <c r="B26" s="581" t="s">
        <v>59</v>
      </c>
      <c r="C26" s="548"/>
      <c r="D26" s="548"/>
      <c r="E26" s="548"/>
      <c r="F26" s="548"/>
      <c r="G26" s="548"/>
      <c r="H26" s="548"/>
      <c r="I26" s="548">
        <v>3798</v>
      </c>
      <c r="J26" s="548">
        <v>3946</v>
      </c>
      <c r="K26" s="548">
        <v>4433</v>
      </c>
      <c r="L26" s="548">
        <v>4358</v>
      </c>
      <c r="M26" s="548">
        <v>5920</v>
      </c>
      <c r="N26" s="548">
        <v>6307</v>
      </c>
      <c r="O26" s="548">
        <v>7549</v>
      </c>
      <c r="P26" s="548">
        <v>8762</v>
      </c>
      <c r="Q26" s="548">
        <v>11671</v>
      </c>
      <c r="R26" s="548">
        <v>12262</v>
      </c>
      <c r="S26" s="548">
        <v>13233</v>
      </c>
      <c r="T26" s="548">
        <v>14548</v>
      </c>
      <c r="U26" s="548">
        <v>16469</v>
      </c>
      <c r="V26" s="548">
        <v>17924</v>
      </c>
      <c r="W26" s="548">
        <v>19494</v>
      </c>
      <c r="X26" s="548">
        <v>20717</v>
      </c>
      <c r="Y26" s="548">
        <v>19780</v>
      </c>
      <c r="Z26" s="548">
        <v>21684</v>
      </c>
      <c r="AA26" s="1226">
        <v>21974</v>
      </c>
      <c r="AB26" s="1166">
        <v>20703</v>
      </c>
    </row>
    <row r="27" spans="1:29" ht="15.75">
      <c r="A27" s="611"/>
      <c r="B27" s="614" t="s">
        <v>51</v>
      </c>
      <c r="C27" s="549"/>
      <c r="D27" s="549"/>
      <c r="E27" s="549"/>
      <c r="F27" s="549"/>
      <c r="G27" s="549"/>
      <c r="H27" s="549"/>
      <c r="I27" s="549">
        <v>664</v>
      </c>
      <c r="J27" s="549">
        <v>848</v>
      </c>
      <c r="K27" s="549">
        <v>951</v>
      </c>
      <c r="L27" s="549">
        <v>794</v>
      </c>
      <c r="M27" s="549">
        <v>863</v>
      </c>
      <c r="N27" s="549">
        <v>1181</v>
      </c>
      <c r="O27" s="549">
        <v>1623</v>
      </c>
      <c r="P27" s="549">
        <v>1592</v>
      </c>
      <c r="Q27" s="549">
        <v>1805</v>
      </c>
      <c r="R27" s="549">
        <v>2186</v>
      </c>
      <c r="S27" s="549">
        <v>2077</v>
      </c>
      <c r="T27" s="549">
        <v>1860</v>
      </c>
      <c r="U27" s="549">
        <v>2199</v>
      </c>
      <c r="V27" s="549">
        <v>2223</v>
      </c>
      <c r="W27" s="549">
        <v>3076</v>
      </c>
      <c r="X27" s="549">
        <v>2879</v>
      </c>
      <c r="Y27" s="549">
        <v>3096</v>
      </c>
      <c r="Z27" s="549">
        <v>3723</v>
      </c>
      <c r="AA27" s="1227">
        <v>4132</v>
      </c>
      <c r="AB27" s="1167">
        <v>5040</v>
      </c>
    </row>
    <row r="28" spans="1:29" ht="15.75">
      <c r="A28" s="612"/>
      <c r="B28" s="510" t="s">
        <v>52</v>
      </c>
      <c r="C28" s="538">
        <v>0</v>
      </c>
      <c r="D28" s="538">
        <v>0</v>
      </c>
      <c r="E28" s="538">
        <v>0</v>
      </c>
      <c r="F28" s="538">
        <v>0</v>
      </c>
      <c r="G28" s="538">
        <v>0</v>
      </c>
      <c r="H28" s="538">
        <v>0</v>
      </c>
      <c r="I28" s="538">
        <v>36929</v>
      </c>
      <c r="J28" s="538">
        <v>39564</v>
      </c>
      <c r="K28" s="538">
        <v>45354</v>
      </c>
      <c r="L28" s="538">
        <v>63763</v>
      </c>
      <c r="M28" s="538">
        <v>102645</v>
      </c>
      <c r="N28" s="538">
        <v>106623</v>
      </c>
      <c r="O28" s="538">
        <v>79567</v>
      </c>
      <c r="P28" s="538">
        <v>57124</v>
      </c>
      <c r="Q28" s="538">
        <v>75525</v>
      </c>
      <c r="R28" s="538">
        <v>97711</v>
      </c>
      <c r="S28" s="538">
        <v>112058</v>
      </c>
      <c r="T28" s="538">
        <v>123771</v>
      </c>
      <c r="U28" s="538">
        <v>127263</v>
      </c>
      <c r="V28" s="538">
        <v>109007</v>
      </c>
      <c r="W28" s="538">
        <v>120334</v>
      </c>
      <c r="X28" s="538">
        <v>131442</v>
      </c>
      <c r="Y28" s="538">
        <v>131711</v>
      </c>
      <c r="Z28" s="538">
        <v>141393</v>
      </c>
      <c r="AA28" s="1167">
        <v>150963</v>
      </c>
      <c r="AB28" s="1168">
        <f>SUM(AB22:AB27)</f>
        <v>158207</v>
      </c>
    </row>
    <row r="29" spans="1:29" ht="15.75">
      <c r="A29" s="610" t="s">
        <v>58</v>
      </c>
      <c r="B29" s="613" t="s">
        <v>55</v>
      </c>
      <c r="C29" s="547"/>
      <c r="D29" s="547"/>
      <c r="E29" s="547"/>
      <c r="F29" s="547"/>
      <c r="G29" s="547"/>
      <c r="H29" s="547"/>
      <c r="I29" s="547">
        <v>47</v>
      </c>
      <c r="J29" s="547">
        <v>62</v>
      </c>
      <c r="K29" s="547">
        <v>120</v>
      </c>
      <c r="L29" s="547">
        <v>143</v>
      </c>
      <c r="M29" s="547">
        <v>177</v>
      </c>
      <c r="N29" s="547">
        <v>218</v>
      </c>
      <c r="O29" s="547">
        <v>362</v>
      </c>
      <c r="P29" s="547">
        <v>512</v>
      </c>
      <c r="Q29" s="547">
        <v>570</v>
      </c>
      <c r="R29" s="547">
        <v>726</v>
      </c>
      <c r="S29" s="547">
        <v>1022</v>
      </c>
      <c r="T29" s="547">
        <v>1130</v>
      </c>
      <c r="U29" s="547">
        <v>1481</v>
      </c>
      <c r="V29" s="547">
        <v>1757</v>
      </c>
      <c r="W29" s="547">
        <v>2999</v>
      </c>
      <c r="X29" s="547">
        <v>3702</v>
      </c>
      <c r="Y29" s="547">
        <v>5401</v>
      </c>
      <c r="Z29" s="547">
        <v>6850</v>
      </c>
      <c r="AA29" s="1225">
        <v>8015</v>
      </c>
      <c r="AB29" s="1108">
        <v>9144</v>
      </c>
    </row>
    <row r="30" spans="1:29" ht="15.75">
      <c r="A30" s="611"/>
      <c r="B30" s="581" t="s">
        <v>56</v>
      </c>
      <c r="C30" s="548"/>
      <c r="D30" s="548"/>
      <c r="E30" s="548"/>
      <c r="F30" s="548"/>
      <c r="G30" s="548"/>
      <c r="H30" s="548"/>
      <c r="I30" s="548">
        <v>6</v>
      </c>
      <c r="J30" s="548">
        <v>23</v>
      </c>
      <c r="K30" s="548">
        <v>18</v>
      </c>
      <c r="L30" s="548">
        <v>19</v>
      </c>
      <c r="M30" s="548">
        <v>47</v>
      </c>
      <c r="N30" s="548">
        <v>67</v>
      </c>
      <c r="O30" s="548">
        <v>91</v>
      </c>
      <c r="P30" s="548">
        <v>156</v>
      </c>
      <c r="Q30" s="548">
        <v>255</v>
      </c>
      <c r="R30" s="548">
        <v>416</v>
      </c>
      <c r="S30" s="548">
        <v>822</v>
      </c>
      <c r="T30" s="548">
        <v>1243</v>
      </c>
      <c r="U30" s="548">
        <v>1560</v>
      </c>
      <c r="V30" s="548">
        <v>1535</v>
      </c>
      <c r="W30" s="548">
        <v>1832</v>
      </c>
      <c r="X30" s="548">
        <v>2415</v>
      </c>
      <c r="Y30" s="548">
        <v>3152</v>
      </c>
      <c r="Z30" s="548">
        <v>3738</v>
      </c>
      <c r="AA30" s="1226">
        <v>4331</v>
      </c>
      <c r="AB30" s="1166">
        <v>4902</v>
      </c>
    </row>
    <row r="31" spans="1:29" ht="15.75">
      <c r="A31" s="611"/>
      <c r="B31" s="581" t="s">
        <v>57</v>
      </c>
      <c r="C31" s="548"/>
      <c r="D31" s="548"/>
      <c r="E31" s="548"/>
      <c r="F31" s="548"/>
      <c r="G31" s="548"/>
      <c r="H31" s="548"/>
      <c r="I31" s="548">
        <v>6</v>
      </c>
      <c r="J31" s="548">
        <v>16</v>
      </c>
      <c r="K31" s="548">
        <v>12</v>
      </c>
      <c r="L31" s="548">
        <v>36</v>
      </c>
      <c r="M31" s="548">
        <v>105</v>
      </c>
      <c r="N31" s="548">
        <v>137</v>
      </c>
      <c r="O31" s="548">
        <v>110</v>
      </c>
      <c r="P31" s="548">
        <v>123</v>
      </c>
      <c r="Q31" s="548">
        <v>203</v>
      </c>
      <c r="R31" s="548">
        <v>326</v>
      </c>
      <c r="S31" s="548">
        <v>437</v>
      </c>
      <c r="T31" s="548">
        <v>565</v>
      </c>
      <c r="U31" s="548">
        <v>810</v>
      </c>
      <c r="V31" s="548">
        <v>853</v>
      </c>
      <c r="W31" s="548">
        <v>1102</v>
      </c>
      <c r="X31" s="548">
        <v>1556</v>
      </c>
      <c r="Y31" s="548">
        <v>1801</v>
      </c>
      <c r="Z31" s="548">
        <v>2032</v>
      </c>
      <c r="AA31" s="1226">
        <v>2041</v>
      </c>
      <c r="AB31" s="1166">
        <v>2999</v>
      </c>
    </row>
    <row r="32" spans="1:29" ht="15.75">
      <c r="A32" s="611"/>
      <c r="B32" s="581" t="s">
        <v>58</v>
      </c>
      <c r="C32" s="548"/>
      <c r="D32" s="548"/>
      <c r="E32" s="548"/>
      <c r="F32" s="548"/>
      <c r="G32" s="548"/>
      <c r="H32" s="548"/>
      <c r="I32" s="548">
        <v>5868</v>
      </c>
      <c r="J32" s="548">
        <v>11474</v>
      </c>
      <c r="K32" s="548">
        <v>18241</v>
      </c>
      <c r="L32" s="548">
        <v>20705</v>
      </c>
      <c r="M32" s="548">
        <v>25077</v>
      </c>
      <c r="N32" s="548">
        <v>31945</v>
      </c>
      <c r="O32" s="548">
        <v>46590</v>
      </c>
      <c r="P32" s="548">
        <v>65391</v>
      </c>
      <c r="Q32" s="548">
        <v>79767</v>
      </c>
      <c r="R32" s="548">
        <v>112347</v>
      </c>
      <c r="S32" s="548">
        <v>143808</v>
      </c>
      <c r="T32" s="548">
        <v>143535</v>
      </c>
      <c r="U32" s="548">
        <v>162680</v>
      </c>
      <c r="V32" s="548">
        <v>263436</v>
      </c>
      <c r="W32" s="548">
        <v>302136</v>
      </c>
      <c r="X32" s="548">
        <v>326970</v>
      </c>
      <c r="Y32" s="548">
        <v>345959</v>
      </c>
      <c r="Z32" s="548">
        <v>360919</v>
      </c>
      <c r="AA32" s="1226">
        <v>440691</v>
      </c>
      <c r="AB32" s="1166">
        <v>584891</v>
      </c>
    </row>
    <row r="33" spans="1:28" ht="15.75">
      <c r="A33" s="611"/>
      <c r="B33" s="581" t="s">
        <v>59</v>
      </c>
      <c r="C33" s="548"/>
      <c r="D33" s="548"/>
      <c r="E33" s="548"/>
      <c r="F33" s="548"/>
      <c r="G33" s="548"/>
      <c r="H33" s="548"/>
      <c r="I33" s="548">
        <v>289</v>
      </c>
      <c r="J33" s="548">
        <v>297</v>
      </c>
      <c r="K33" s="548">
        <v>405</v>
      </c>
      <c r="L33" s="548">
        <v>402</v>
      </c>
      <c r="M33" s="548">
        <v>661</v>
      </c>
      <c r="N33" s="548">
        <v>773</v>
      </c>
      <c r="O33" s="548">
        <v>1225</v>
      </c>
      <c r="P33" s="548">
        <v>1655</v>
      </c>
      <c r="Q33" s="548">
        <v>2657</v>
      </c>
      <c r="R33" s="548">
        <v>3174</v>
      </c>
      <c r="S33" s="548">
        <v>4637</v>
      </c>
      <c r="T33" s="548">
        <v>5928</v>
      </c>
      <c r="U33" s="548">
        <v>7236</v>
      </c>
      <c r="V33" s="548">
        <v>8116</v>
      </c>
      <c r="W33" s="548">
        <v>10462</v>
      </c>
      <c r="X33" s="548">
        <v>13243</v>
      </c>
      <c r="Y33" s="548">
        <v>14488</v>
      </c>
      <c r="Z33" s="548">
        <v>19209</v>
      </c>
      <c r="AA33" s="1226">
        <v>21476</v>
      </c>
      <c r="AB33" s="1166">
        <v>23705</v>
      </c>
    </row>
    <row r="34" spans="1:28" ht="15.75">
      <c r="A34" s="611"/>
      <c r="B34" s="614" t="s">
        <v>51</v>
      </c>
      <c r="C34" s="549"/>
      <c r="D34" s="549"/>
      <c r="E34" s="549"/>
      <c r="F34" s="549"/>
      <c r="G34" s="549"/>
      <c r="H34" s="549"/>
      <c r="I34" s="549">
        <v>84</v>
      </c>
      <c r="J34" s="549">
        <v>131</v>
      </c>
      <c r="K34" s="549">
        <v>146</v>
      </c>
      <c r="L34" s="549">
        <v>144</v>
      </c>
      <c r="M34" s="549">
        <v>225</v>
      </c>
      <c r="N34" s="549">
        <v>271</v>
      </c>
      <c r="O34" s="549">
        <v>437</v>
      </c>
      <c r="P34" s="549">
        <v>555</v>
      </c>
      <c r="Q34" s="549">
        <v>1086</v>
      </c>
      <c r="R34" s="549">
        <v>1127</v>
      </c>
      <c r="S34" s="549">
        <v>1296</v>
      </c>
      <c r="T34" s="549">
        <v>1923</v>
      </c>
      <c r="U34" s="549">
        <v>2237</v>
      </c>
      <c r="V34" s="549">
        <v>2536</v>
      </c>
      <c r="W34" s="549">
        <v>3341</v>
      </c>
      <c r="X34" s="549">
        <v>4118</v>
      </c>
      <c r="Y34" s="549">
        <v>5707</v>
      </c>
      <c r="Z34" s="549">
        <v>6257</v>
      </c>
      <c r="AA34" s="1227">
        <v>7394</v>
      </c>
      <c r="AB34" s="1167">
        <v>13020</v>
      </c>
    </row>
    <row r="35" spans="1:28" ht="15.75">
      <c r="A35" s="612"/>
      <c r="B35" s="510" t="s">
        <v>52</v>
      </c>
      <c r="C35" s="538">
        <v>0</v>
      </c>
      <c r="D35" s="538">
        <v>0</v>
      </c>
      <c r="E35" s="538">
        <v>0</v>
      </c>
      <c r="F35" s="538">
        <v>0</v>
      </c>
      <c r="G35" s="538">
        <v>0</v>
      </c>
      <c r="H35" s="538">
        <v>0</v>
      </c>
      <c r="I35" s="538">
        <v>6300</v>
      </c>
      <c r="J35" s="538">
        <v>12003</v>
      </c>
      <c r="K35" s="538">
        <v>18942</v>
      </c>
      <c r="L35" s="538">
        <v>21449</v>
      </c>
      <c r="M35" s="538">
        <v>26292</v>
      </c>
      <c r="N35" s="538">
        <v>33411</v>
      </c>
      <c r="O35" s="538">
        <v>48815</v>
      </c>
      <c r="P35" s="538">
        <v>68392</v>
      </c>
      <c r="Q35" s="538">
        <v>84538</v>
      </c>
      <c r="R35" s="538">
        <v>118116</v>
      </c>
      <c r="S35" s="538">
        <v>152022</v>
      </c>
      <c r="T35" s="538">
        <v>154324</v>
      </c>
      <c r="U35" s="538">
        <v>176004</v>
      </c>
      <c r="V35" s="538">
        <v>278233</v>
      </c>
      <c r="W35" s="538">
        <v>321872</v>
      </c>
      <c r="X35" s="538">
        <v>352004</v>
      </c>
      <c r="Y35" s="538">
        <v>376508</v>
      </c>
      <c r="Z35" s="538">
        <v>399005</v>
      </c>
      <c r="AA35" s="1167">
        <v>483948</v>
      </c>
      <c r="AB35" s="1168">
        <f>SUM(AB29:AB34)</f>
        <v>638661</v>
      </c>
    </row>
    <row r="36" spans="1:28" ht="15.75">
      <c r="A36" s="610" t="s">
        <v>59</v>
      </c>
      <c r="B36" s="613" t="s">
        <v>55</v>
      </c>
      <c r="C36" s="547"/>
      <c r="D36" s="547"/>
      <c r="E36" s="547"/>
      <c r="F36" s="547"/>
      <c r="G36" s="547"/>
      <c r="H36" s="547"/>
      <c r="I36" s="547">
        <v>16696</v>
      </c>
      <c r="J36" s="547">
        <v>17659</v>
      </c>
      <c r="K36" s="547">
        <v>20269</v>
      </c>
      <c r="L36" s="547">
        <v>18763</v>
      </c>
      <c r="M36" s="547">
        <v>20290</v>
      </c>
      <c r="N36" s="547">
        <v>18560</v>
      </c>
      <c r="O36" s="547">
        <v>17510</v>
      </c>
      <c r="P36" s="547">
        <v>15866</v>
      </c>
      <c r="Q36" s="547">
        <v>16146</v>
      </c>
      <c r="R36" s="547">
        <v>17522</v>
      </c>
      <c r="S36" s="547">
        <v>18549</v>
      </c>
      <c r="T36" s="547">
        <v>18520</v>
      </c>
      <c r="U36" s="547">
        <v>18041</v>
      </c>
      <c r="V36" s="547">
        <v>18577</v>
      </c>
      <c r="W36" s="547">
        <v>25870</v>
      </c>
      <c r="X36" s="547">
        <v>29077</v>
      </c>
      <c r="Y36" s="547">
        <v>35272</v>
      </c>
      <c r="Z36" s="547">
        <v>38799</v>
      </c>
      <c r="AA36" s="1225">
        <v>38761</v>
      </c>
      <c r="AB36" s="1108">
        <v>33010</v>
      </c>
    </row>
    <row r="37" spans="1:28" ht="15.75">
      <c r="A37" s="611"/>
      <c r="B37" s="581" t="s">
        <v>56</v>
      </c>
      <c r="C37" s="548"/>
      <c r="D37" s="548"/>
      <c r="E37" s="548"/>
      <c r="F37" s="548"/>
      <c r="G37" s="548"/>
      <c r="H37" s="548"/>
      <c r="I37" s="548">
        <v>5588</v>
      </c>
      <c r="J37" s="548">
        <v>5476</v>
      </c>
      <c r="K37" s="548">
        <v>5256</v>
      </c>
      <c r="L37" s="548">
        <v>5168</v>
      </c>
      <c r="M37" s="548">
        <v>5993</v>
      </c>
      <c r="N37" s="548">
        <v>8023</v>
      </c>
      <c r="O37" s="548">
        <v>9873</v>
      </c>
      <c r="P37" s="548">
        <v>11033</v>
      </c>
      <c r="Q37" s="548">
        <v>13824</v>
      </c>
      <c r="R37" s="548">
        <v>16262</v>
      </c>
      <c r="S37" s="548">
        <v>20103</v>
      </c>
      <c r="T37" s="548">
        <v>21131</v>
      </c>
      <c r="U37" s="548">
        <v>20229</v>
      </c>
      <c r="V37" s="548">
        <v>17995</v>
      </c>
      <c r="W37" s="548">
        <v>17248</v>
      </c>
      <c r="X37" s="548">
        <v>17451</v>
      </c>
      <c r="Y37" s="548">
        <v>17080</v>
      </c>
      <c r="Z37" s="548">
        <v>14789</v>
      </c>
      <c r="AA37" s="1226">
        <v>14165</v>
      </c>
      <c r="AB37" s="1166">
        <v>15347</v>
      </c>
    </row>
    <row r="38" spans="1:28" ht="15.75">
      <c r="A38" s="611"/>
      <c r="B38" s="581" t="s">
        <v>57</v>
      </c>
      <c r="C38" s="548"/>
      <c r="D38" s="548"/>
      <c r="E38" s="548"/>
      <c r="F38" s="548"/>
      <c r="G38" s="548"/>
      <c r="H38" s="548"/>
      <c r="I38" s="548">
        <v>3983</v>
      </c>
      <c r="J38" s="548">
        <v>3248</v>
      </c>
      <c r="K38" s="548">
        <v>2978</v>
      </c>
      <c r="L38" s="548">
        <v>4123</v>
      </c>
      <c r="M38" s="548">
        <v>6784</v>
      </c>
      <c r="N38" s="548">
        <v>6683</v>
      </c>
      <c r="O38" s="548">
        <v>5135</v>
      </c>
      <c r="P38" s="548">
        <v>3674</v>
      </c>
      <c r="Q38" s="548">
        <v>4711</v>
      </c>
      <c r="R38" s="548">
        <v>5874</v>
      </c>
      <c r="S38" s="548">
        <v>8404</v>
      </c>
      <c r="T38" s="548">
        <v>8835</v>
      </c>
      <c r="U38" s="548">
        <v>8804</v>
      </c>
      <c r="V38" s="548">
        <v>7337</v>
      </c>
      <c r="W38" s="548">
        <v>7495</v>
      </c>
      <c r="X38" s="548">
        <v>8096</v>
      </c>
      <c r="Y38" s="548">
        <v>7912</v>
      </c>
      <c r="Z38" s="548">
        <v>8171</v>
      </c>
      <c r="AA38" s="1226">
        <v>8504</v>
      </c>
      <c r="AB38" s="1166">
        <v>10041</v>
      </c>
    </row>
    <row r="39" spans="1:28" ht="15.75">
      <c r="A39" s="611"/>
      <c r="B39" s="581" t="s">
        <v>58</v>
      </c>
      <c r="C39" s="548"/>
      <c r="D39" s="548"/>
      <c r="E39" s="548"/>
      <c r="F39" s="548"/>
      <c r="G39" s="548"/>
      <c r="H39" s="548"/>
      <c r="I39" s="548">
        <v>3414</v>
      </c>
      <c r="J39" s="548">
        <v>9407</v>
      </c>
      <c r="K39" s="548">
        <v>6538</v>
      </c>
      <c r="L39" s="548">
        <v>6160</v>
      </c>
      <c r="M39" s="548">
        <v>5870</v>
      </c>
      <c r="N39" s="548">
        <v>6891</v>
      </c>
      <c r="O39" s="548">
        <v>8661</v>
      </c>
      <c r="P39" s="548">
        <v>0</v>
      </c>
      <c r="Q39" s="548">
        <v>10985</v>
      </c>
      <c r="R39" s="548">
        <v>12334</v>
      </c>
      <c r="S39" s="548">
        <v>16908</v>
      </c>
      <c r="T39" s="548">
        <v>16674</v>
      </c>
      <c r="U39" s="548">
        <v>17401</v>
      </c>
      <c r="V39" s="548">
        <v>23157</v>
      </c>
      <c r="W39" s="548">
        <v>25637</v>
      </c>
      <c r="X39" s="548">
        <v>23673</v>
      </c>
      <c r="Y39" s="548">
        <v>22915</v>
      </c>
      <c r="Z39" s="548">
        <v>23114</v>
      </c>
      <c r="AA39" s="1226">
        <v>21084</v>
      </c>
      <c r="AB39" s="1166">
        <v>27843</v>
      </c>
    </row>
    <row r="40" spans="1:28" ht="15.75">
      <c r="A40" s="611"/>
      <c r="B40" s="581" t="s">
        <v>59</v>
      </c>
      <c r="C40" s="548"/>
      <c r="D40" s="548"/>
      <c r="E40" s="548"/>
      <c r="F40" s="548"/>
      <c r="G40" s="548"/>
      <c r="H40" s="548"/>
      <c r="I40" s="548">
        <v>87761</v>
      </c>
      <c r="J40" s="548">
        <v>88518</v>
      </c>
      <c r="K40" s="548">
        <v>84858</v>
      </c>
      <c r="L40" s="548">
        <v>75009</v>
      </c>
      <c r="M40" s="548">
        <v>90548</v>
      </c>
      <c r="N40" s="548">
        <v>80171</v>
      </c>
      <c r="O40" s="548">
        <v>77501</v>
      </c>
      <c r="P40" s="548">
        <v>82382</v>
      </c>
      <c r="Q40" s="548">
        <v>107792</v>
      </c>
      <c r="R40" s="548">
        <v>108626</v>
      </c>
      <c r="S40" s="548">
        <v>121026</v>
      </c>
      <c r="T40" s="548">
        <v>133593</v>
      </c>
      <c r="U40" s="548">
        <v>144621</v>
      </c>
      <c r="V40" s="548">
        <v>140969</v>
      </c>
      <c r="W40" s="548">
        <v>143723</v>
      </c>
      <c r="X40" s="548">
        <v>150949</v>
      </c>
      <c r="Y40" s="548">
        <v>144413</v>
      </c>
      <c r="Z40" s="548">
        <v>167115</v>
      </c>
      <c r="AA40" s="1226">
        <v>164562</v>
      </c>
      <c r="AB40" s="1166">
        <v>149538</v>
      </c>
    </row>
    <row r="41" spans="1:28" ht="15.75">
      <c r="A41" s="611"/>
      <c r="B41" s="614" t="s">
        <v>51</v>
      </c>
      <c r="C41" s="549"/>
      <c r="D41" s="549"/>
      <c r="E41" s="549"/>
      <c r="F41" s="549"/>
      <c r="G41" s="549"/>
      <c r="H41" s="549"/>
      <c r="I41" s="549">
        <v>22375</v>
      </c>
      <c r="J41" s="549">
        <v>24259</v>
      </c>
      <c r="K41" s="549">
        <v>23585</v>
      </c>
      <c r="L41" s="549">
        <v>23593</v>
      </c>
      <c r="M41" s="549">
        <v>25869</v>
      </c>
      <c r="N41" s="549">
        <v>26381</v>
      </c>
      <c r="O41" s="549">
        <v>28474</v>
      </c>
      <c r="P41" s="549">
        <v>27676</v>
      </c>
      <c r="Q41" s="549">
        <v>32415</v>
      </c>
      <c r="R41" s="549">
        <v>39885</v>
      </c>
      <c r="S41" s="549">
        <v>41592</v>
      </c>
      <c r="T41" s="549">
        <v>42498</v>
      </c>
      <c r="U41" s="549">
        <v>42030</v>
      </c>
      <c r="V41" s="549">
        <v>44173</v>
      </c>
      <c r="W41" s="549">
        <v>50134</v>
      </c>
      <c r="X41" s="549">
        <v>48024</v>
      </c>
      <c r="Y41" s="549">
        <v>50674</v>
      </c>
      <c r="Z41" s="549">
        <v>50779</v>
      </c>
      <c r="AA41" s="1227">
        <v>52755</v>
      </c>
      <c r="AB41" s="1167">
        <v>58207</v>
      </c>
    </row>
    <row r="42" spans="1:28" ht="15.75">
      <c r="A42" s="612"/>
      <c r="B42" s="510" t="s">
        <v>52</v>
      </c>
      <c r="C42" s="538">
        <v>0</v>
      </c>
      <c r="D42" s="538">
        <v>0</v>
      </c>
      <c r="E42" s="538">
        <v>0</v>
      </c>
      <c r="F42" s="538">
        <v>0</v>
      </c>
      <c r="G42" s="538">
        <v>0</v>
      </c>
      <c r="H42" s="538">
        <v>0</v>
      </c>
      <c r="I42" s="538">
        <v>139817</v>
      </c>
      <c r="J42" s="538">
        <v>148567</v>
      </c>
      <c r="K42" s="538">
        <v>143484</v>
      </c>
      <c r="L42" s="538">
        <v>132816</v>
      </c>
      <c r="M42" s="538">
        <v>155354</v>
      </c>
      <c r="N42" s="538">
        <v>146709</v>
      </c>
      <c r="O42" s="538">
        <v>147154</v>
      </c>
      <c r="P42" s="538">
        <v>140631</v>
      </c>
      <c r="Q42" s="538">
        <v>185873</v>
      </c>
      <c r="R42" s="538">
        <v>200503</v>
      </c>
      <c r="S42" s="538">
        <v>226582</v>
      </c>
      <c r="T42" s="538">
        <v>241251</v>
      </c>
      <c r="U42" s="538">
        <v>251126</v>
      </c>
      <c r="V42" s="538">
        <v>252208</v>
      </c>
      <c r="W42" s="538">
        <v>270107</v>
      </c>
      <c r="X42" s="538">
        <v>277270</v>
      </c>
      <c r="Y42" s="538">
        <v>278266</v>
      </c>
      <c r="Z42" s="538">
        <v>302767</v>
      </c>
      <c r="AA42" s="1167">
        <v>299831</v>
      </c>
      <c r="AB42" s="1168">
        <f>SUM(AB36:AB41)</f>
        <v>293986</v>
      </c>
    </row>
    <row r="43" spans="1:28" ht="15.75">
      <c r="A43" s="610" t="s">
        <v>51</v>
      </c>
      <c r="B43" s="613" t="s">
        <v>55</v>
      </c>
      <c r="C43" s="547"/>
      <c r="D43" s="547"/>
      <c r="E43" s="547"/>
      <c r="F43" s="547"/>
      <c r="G43" s="547"/>
      <c r="H43" s="547"/>
      <c r="I43" s="547">
        <v>3118</v>
      </c>
      <c r="J43" s="547">
        <v>11040</v>
      </c>
      <c r="K43" s="547">
        <v>5704</v>
      </c>
      <c r="L43" s="547">
        <v>6165</v>
      </c>
      <c r="M43" s="547">
        <v>4733</v>
      </c>
      <c r="N43" s="547">
        <v>4299</v>
      </c>
      <c r="O43" s="547">
        <v>7500</v>
      </c>
      <c r="P43" s="547">
        <v>4095</v>
      </c>
      <c r="Q43" s="547">
        <v>4230</v>
      </c>
      <c r="R43" s="547">
        <v>4481</v>
      </c>
      <c r="S43" s="547">
        <v>4491</v>
      </c>
      <c r="T43" s="547">
        <v>4852</v>
      </c>
      <c r="U43" s="547">
        <v>4150</v>
      </c>
      <c r="V43" s="547">
        <v>4053</v>
      </c>
      <c r="W43" s="547">
        <v>5829</v>
      </c>
      <c r="X43" s="547">
        <v>6138</v>
      </c>
      <c r="Y43" s="547">
        <v>8238</v>
      </c>
      <c r="Z43" s="547">
        <v>8879</v>
      </c>
      <c r="AA43" s="1225">
        <v>8862</v>
      </c>
      <c r="AB43" s="1108">
        <v>7880</v>
      </c>
    </row>
    <row r="44" spans="1:28" ht="15.75">
      <c r="A44" s="611"/>
      <c r="B44" s="581" t="s">
        <v>56</v>
      </c>
      <c r="C44" s="548"/>
      <c r="D44" s="548"/>
      <c r="E44" s="548"/>
      <c r="F44" s="548"/>
      <c r="G44" s="548"/>
      <c r="H44" s="548"/>
      <c r="I44" s="548">
        <v>481</v>
      </c>
      <c r="J44" s="548">
        <v>521</v>
      </c>
      <c r="K44" s="548">
        <v>558</v>
      </c>
      <c r="L44" s="548">
        <v>619</v>
      </c>
      <c r="M44" s="548">
        <v>773</v>
      </c>
      <c r="N44" s="548">
        <v>1043</v>
      </c>
      <c r="O44" s="548">
        <v>1769</v>
      </c>
      <c r="P44" s="548">
        <v>1747</v>
      </c>
      <c r="Q44" s="548">
        <v>2246</v>
      </c>
      <c r="R44" s="548">
        <v>2711</v>
      </c>
      <c r="S44" s="548">
        <v>3455</v>
      </c>
      <c r="T44" s="548">
        <v>3471</v>
      </c>
      <c r="U44" s="548">
        <v>3350</v>
      </c>
      <c r="V44" s="548">
        <v>2872</v>
      </c>
      <c r="W44" s="548">
        <v>2986</v>
      </c>
      <c r="X44" s="548">
        <v>3051</v>
      </c>
      <c r="Y44" s="548">
        <v>3001</v>
      </c>
      <c r="Z44" s="548">
        <v>3095</v>
      </c>
      <c r="AA44" s="1226">
        <v>3330</v>
      </c>
      <c r="AB44" s="1166">
        <v>3611</v>
      </c>
    </row>
    <row r="45" spans="1:28" ht="15.75">
      <c r="A45" s="611"/>
      <c r="B45" s="581" t="s">
        <v>57</v>
      </c>
      <c r="C45" s="548"/>
      <c r="D45" s="548"/>
      <c r="E45" s="548"/>
      <c r="F45" s="548"/>
      <c r="G45" s="548"/>
      <c r="H45" s="548"/>
      <c r="I45" s="548">
        <v>248</v>
      </c>
      <c r="J45" s="548">
        <v>274</v>
      </c>
      <c r="K45" s="548">
        <v>301</v>
      </c>
      <c r="L45" s="548">
        <v>503</v>
      </c>
      <c r="M45" s="548">
        <v>926</v>
      </c>
      <c r="N45" s="548">
        <v>1174</v>
      </c>
      <c r="O45" s="548">
        <v>1078</v>
      </c>
      <c r="P45" s="548">
        <v>552</v>
      </c>
      <c r="Q45" s="548">
        <v>660</v>
      </c>
      <c r="R45" s="548">
        <v>835</v>
      </c>
      <c r="S45" s="548">
        <v>1313</v>
      </c>
      <c r="T45" s="548">
        <v>1435</v>
      </c>
      <c r="U45" s="548">
        <v>1638</v>
      </c>
      <c r="V45" s="548">
        <v>1317</v>
      </c>
      <c r="W45" s="548">
        <v>1375</v>
      </c>
      <c r="X45" s="548">
        <v>1624</v>
      </c>
      <c r="Y45" s="548">
        <v>1366</v>
      </c>
      <c r="Z45" s="548">
        <v>1549</v>
      </c>
      <c r="AA45" s="1226">
        <v>2043</v>
      </c>
      <c r="AB45" s="1166">
        <v>2244</v>
      </c>
    </row>
    <row r="46" spans="1:28" ht="15.75">
      <c r="A46" s="611"/>
      <c r="B46" s="581" t="s">
        <v>58</v>
      </c>
      <c r="C46" s="548"/>
      <c r="D46" s="548"/>
      <c r="E46" s="548"/>
      <c r="F46" s="548"/>
      <c r="G46" s="548"/>
      <c r="H46" s="548"/>
      <c r="I46" s="548">
        <v>370</v>
      </c>
      <c r="J46" s="548">
        <v>1130</v>
      </c>
      <c r="K46" s="548">
        <v>812</v>
      </c>
      <c r="L46" s="548">
        <v>951</v>
      </c>
      <c r="M46" s="548">
        <v>837</v>
      </c>
      <c r="N46" s="548">
        <v>967</v>
      </c>
      <c r="O46" s="548">
        <v>1778</v>
      </c>
      <c r="P46" s="548">
        <v>63098</v>
      </c>
      <c r="Q46" s="548">
        <v>1672</v>
      </c>
      <c r="R46" s="548">
        <v>1749</v>
      </c>
      <c r="S46" s="548">
        <v>2232</v>
      </c>
      <c r="T46" s="548">
        <v>2278</v>
      </c>
      <c r="U46" s="548">
        <v>2404</v>
      </c>
      <c r="V46" s="548">
        <v>3317</v>
      </c>
      <c r="W46" s="548">
        <v>3757</v>
      </c>
      <c r="X46" s="548">
        <v>3463</v>
      </c>
      <c r="Y46" s="548">
        <v>3578</v>
      </c>
      <c r="Z46" s="548">
        <v>4216</v>
      </c>
      <c r="AA46" s="1226">
        <v>5942</v>
      </c>
      <c r="AB46" s="1166">
        <v>7025</v>
      </c>
    </row>
    <row r="47" spans="1:28" ht="15.75">
      <c r="A47" s="611"/>
      <c r="B47" s="581" t="s">
        <v>59</v>
      </c>
      <c r="C47" s="548"/>
      <c r="D47" s="548"/>
      <c r="E47" s="548"/>
      <c r="F47" s="548"/>
      <c r="G47" s="548"/>
      <c r="H47" s="548"/>
      <c r="I47" s="548">
        <v>12755</v>
      </c>
      <c r="J47" s="548">
        <v>12990</v>
      </c>
      <c r="K47" s="548">
        <v>13437</v>
      </c>
      <c r="L47" s="548">
        <v>11771</v>
      </c>
      <c r="M47" s="548">
        <v>14845</v>
      </c>
      <c r="N47" s="548">
        <v>14178</v>
      </c>
      <c r="O47" s="548">
        <v>15876</v>
      </c>
      <c r="P47" s="548">
        <v>15372</v>
      </c>
      <c r="Q47" s="548">
        <v>20201</v>
      </c>
      <c r="R47" s="548">
        <v>21538</v>
      </c>
      <c r="S47" s="548">
        <v>25384</v>
      </c>
      <c r="T47" s="548">
        <v>28397</v>
      </c>
      <c r="U47" s="548">
        <v>30770</v>
      </c>
      <c r="V47" s="548">
        <v>31460</v>
      </c>
      <c r="W47" s="548">
        <v>31660</v>
      </c>
      <c r="X47" s="548">
        <v>33583</v>
      </c>
      <c r="Y47" s="548">
        <v>32549</v>
      </c>
      <c r="Z47" s="548">
        <v>37242</v>
      </c>
      <c r="AA47" s="1226">
        <v>37985</v>
      </c>
      <c r="AB47" s="1166">
        <v>36451</v>
      </c>
    </row>
    <row r="48" spans="1:28" ht="15.75">
      <c r="A48" s="611"/>
      <c r="B48" s="614" t="s">
        <v>51</v>
      </c>
      <c r="C48" s="549"/>
      <c r="D48" s="549"/>
      <c r="E48" s="549"/>
      <c r="F48" s="549"/>
      <c r="G48" s="549"/>
      <c r="H48" s="549"/>
      <c r="I48" s="549">
        <v>37795</v>
      </c>
      <c r="J48" s="549">
        <v>35596</v>
      </c>
      <c r="K48" s="549">
        <v>34536</v>
      </c>
      <c r="L48" s="549">
        <v>31335</v>
      </c>
      <c r="M48" s="549">
        <v>41421</v>
      </c>
      <c r="N48" s="549">
        <v>40286</v>
      </c>
      <c r="O48" s="549">
        <v>66972</v>
      </c>
      <c r="P48" s="549">
        <v>58766</v>
      </c>
      <c r="Q48" s="549">
        <v>48068</v>
      </c>
      <c r="R48" s="549">
        <v>43963</v>
      </c>
      <c r="S48" s="549">
        <v>50286</v>
      </c>
      <c r="T48" s="549">
        <v>51400</v>
      </c>
      <c r="U48" s="549">
        <v>54901</v>
      </c>
      <c r="V48" s="549">
        <v>53015</v>
      </c>
      <c r="W48" s="549">
        <v>48691</v>
      </c>
      <c r="X48" s="549">
        <v>48166</v>
      </c>
      <c r="Y48" s="549">
        <v>50333</v>
      </c>
      <c r="Z48" s="549">
        <v>49191</v>
      </c>
      <c r="AA48" s="1227">
        <v>55037</v>
      </c>
      <c r="AB48" s="1167">
        <v>53027</v>
      </c>
    </row>
    <row r="49" spans="1:28" ht="15.75">
      <c r="A49" s="612"/>
      <c r="B49" s="510" t="s">
        <v>52</v>
      </c>
      <c r="C49" s="538">
        <v>0</v>
      </c>
      <c r="D49" s="538">
        <v>0</v>
      </c>
      <c r="E49" s="538">
        <v>0</v>
      </c>
      <c r="F49" s="538">
        <v>0</v>
      </c>
      <c r="G49" s="538">
        <v>0</v>
      </c>
      <c r="H49" s="538">
        <v>0</v>
      </c>
      <c r="I49" s="538">
        <v>54767</v>
      </c>
      <c r="J49" s="538">
        <v>61551</v>
      </c>
      <c r="K49" s="538">
        <v>55348</v>
      </c>
      <c r="L49" s="538">
        <v>51344</v>
      </c>
      <c r="M49" s="538">
        <v>63535</v>
      </c>
      <c r="N49" s="538">
        <v>61947</v>
      </c>
      <c r="O49" s="538">
        <v>94973</v>
      </c>
      <c r="P49" s="538">
        <v>143630</v>
      </c>
      <c r="Q49" s="538">
        <v>77077</v>
      </c>
      <c r="R49" s="538">
        <v>75277</v>
      </c>
      <c r="S49" s="538">
        <v>87161</v>
      </c>
      <c r="T49" s="538">
        <v>91833</v>
      </c>
      <c r="U49" s="538">
        <v>97213</v>
      </c>
      <c r="V49" s="538">
        <v>96034</v>
      </c>
      <c r="W49" s="538">
        <v>94298</v>
      </c>
      <c r="X49" s="538">
        <v>96025</v>
      </c>
      <c r="Y49" s="538">
        <v>99065</v>
      </c>
      <c r="Z49" s="538">
        <v>104172</v>
      </c>
      <c r="AA49" s="1167">
        <v>113199</v>
      </c>
      <c r="AB49" s="1168">
        <f>SUM(AB43:AB48)</f>
        <v>110238</v>
      </c>
    </row>
    <row r="50" spans="1:28" ht="15.75">
      <c r="A50" s="610" t="s">
        <v>52</v>
      </c>
      <c r="B50" s="613" t="s">
        <v>55</v>
      </c>
      <c r="C50" s="547"/>
      <c r="D50" s="547"/>
      <c r="E50" s="547"/>
      <c r="F50" s="547"/>
      <c r="G50" s="547"/>
      <c r="H50" s="547"/>
      <c r="I50" s="547">
        <v>102691</v>
      </c>
      <c r="J50" s="547">
        <v>123382</v>
      </c>
      <c r="K50" s="547">
        <v>120352</v>
      </c>
      <c r="L50" s="547">
        <v>118251</v>
      </c>
      <c r="M50" s="547">
        <v>125138</v>
      </c>
      <c r="N50" s="547">
        <v>121492</v>
      </c>
      <c r="O50" s="547">
        <v>115614</v>
      </c>
      <c r="P50" s="547">
        <v>122424</v>
      </c>
      <c r="Q50" s="547">
        <v>104210</v>
      </c>
      <c r="R50" s="547">
        <v>115657</v>
      </c>
      <c r="S50" s="547">
        <v>119775</v>
      </c>
      <c r="T50" s="547">
        <v>124358</v>
      </c>
      <c r="U50" s="547">
        <v>121346</v>
      </c>
      <c r="V50" s="547">
        <v>125716</v>
      </c>
      <c r="W50" s="547">
        <v>156540</v>
      </c>
      <c r="X50" s="547">
        <v>163279</v>
      </c>
      <c r="Y50" s="547">
        <v>187808</v>
      </c>
      <c r="Z50" s="547">
        <v>201277</v>
      </c>
      <c r="AA50" s="1225">
        <v>199027</v>
      </c>
      <c r="AB50" s="1108">
        <v>182052</v>
      </c>
    </row>
    <row r="51" spans="1:28" ht="15.75">
      <c r="A51" s="611"/>
      <c r="B51" s="581" t="s">
        <v>56</v>
      </c>
      <c r="C51" s="548"/>
      <c r="D51" s="548"/>
      <c r="E51" s="548"/>
      <c r="F51" s="548"/>
      <c r="G51" s="548"/>
      <c r="H51" s="548"/>
      <c r="I51" s="548">
        <v>119192</v>
      </c>
      <c r="J51" s="548">
        <v>122522</v>
      </c>
      <c r="K51" s="548">
        <v>124192</v>
      </c>
      <c r="L51" s="548">
        <v>122944</v>
      </c>
      <c r="M51" s="548">
        <v>141399</v>
      </c>
      <c r="N51" s="548">
        <v>164954</v>
      </c>
      <c r="O51" s="548">
        <v>176950</v>
      </c>
      <c r="P51" s="548">
        <v>193349</v>
      </c>
      <c r="Q51" s="548">
        <v>222693</v>
      </c>
      <c r="R51" s="548">
        <v>238323</v>
      </c>
      <c r="S51" s="548">
        <v>274791</v>
      </c>
      <c r="T51" s="548">
        <v>277079</v>
      </c>
      <c r="U51" s="548">
        <v>227142</v>
      </c>
      <c r="V51" s="548">
        <v>189358</v>
      </c>
      <c r="W51" s="548">
        <v>203087</v>
      </c>
      <c r="X51" s="548">
        <v>199577</v>
      </c>
      <c r="Y51" s="548">
        <v>194525</v>
      </c>
      <c r="Z51" s="548">
        <v>179910</v>
      </c>
      <c r="AA51" s="1226">
        <v>179383</v>
      </c>
      <c r="AB51" s="1166">
        <v>184372</v>
      </c>
    </row>
    <row r="52" spans="1:28" ht="15.75">
      <c r="A52" s="611"/>
      <c r="B52" s="581" t="s">
        <v>57</v>
      </c>
      <c r="C52" s="548"/>
      <c r="D52" s="548"/>
      <c r="E52" s="548"/>
      <c r="F52" s="548"/>
      <c r="G52" s="548"/>
      <c r="H52" s="548"/>
      <c r="I52" s="548">
        <v>45046</v>
      </c>
      <c r="J52" s="548">
        <v>44178</v>
      </c>
      <c r="K52" s="548">
        <v>49068</v>
      </c>
      <c r="L52" s="548">
        <v>73512</v>
      </c>
      <c r="M52" s="548">
        <v>120790</v>
      </c>
      <c r="N52" s="548">
        <v>123705</v>
      </c>
      <c r="O52" s="548">
        <v>83523</v>
      </c>
      <c r="P52" s="548">
        <v>56732</v>
      </c>
      <c r="Q52" s="548">
        <v>68843</v>
      </c>
      <c r="R52" s="548">
        <v>94720</v>
      </c>
      <c r="S52" s="548">
        <v>113467</v>
      </c>
      <c r="T52" s="548">
        <v>127330</v>
      </c>
      <c r="U52" s="548">
        <v>129786</v>
      </c>
      <c r="V52" s="548">
        <v>101873</v>
      </c>
      <c r="W52" s="548">
        <v>108875</v>
      </c>
      <c r="X52" s="548">
        <v>120662</v>
      </c>
      <c r="Y52" s="548">
        <v>119012</v>
      </c>
      <c r="Z52" s="548">
        <v>125661</v>
      </c>
      <c r="AA52" s="1226">
        <v>134766</v>
      </c>
      <c r="AB52" s="1166">
        <v>145882</v>
      </c>
    </row>
    <row r="53" spans="1:28" ht="15.75">
      <c r="A53" s="611"/>
      <c r="B53" s="581" t="s">
        <v>58</v>
      </c>
      <c r="C53" s="548"/>
      <c r="D53" s="548"/>
      <c r="E53" s="548"/>
      <c r="F53" s="548"/>
      <c r="G53" s="548"/>
      <c r="H53" s="548"/>
      <c r="I53" s="548">
        <v>21257</v>
      </c>
      <c r="J53" s="548">
        <v>49356</v>
      </c>
      <c r="K53" s="548">
        <v>49360</v>
      </c>
      <c r="L53" s="548">
        <v>53305</v>
      </c>
      <c r="M53" s="548">
        <v>57786</v>
      </c>
      <c r="N53" s="548">
        <v>67948</v>
      </c>
      <c r="O53" s="548">
        <v>93706</v>
      </c>
      <c r="P53" s="548">
        <v>128489</v>
      </c>
      <c r="Q53" s="548">
        <v>135110</v>
      </c>
      <c r="R53" s="548">
        <v>172113</v>
      </c>
      <c r="S53" s="548">
        <v>217105</v>
      </c>
      <c r="T53" s="548">
        <v>207688</v>
      </c>
      <c r="U53" s="548">
        <v>233228</v>
      </c>
      <c r="V53" s="548">
        <v>359316</v>
      </c>
      <c r="W53" s="548">
        <v>404208</v>
      </c>
      <c r="X53" s="548">
        <v>420144</v>
      </c>
      <c r="Y53" s="548">
        <v>432147</v>
      </c>
      <c r="Z53" s="548">
        <v>452804</v>
      </c>
      <c r="AA53" s="1226">
        <v>530127</v>
      </c>
      <c r="AB53" s="1166">
        <v>695946</v>
      </c>
    </row>
    <row r="54" spans="1:28" ht="15.75">
      <c r="A54" s="611"/>
      <c r="B54" s="581" t="s">
        <v>59</v>
      </c>
      <c r="C54" s="548"/>
      <c r="D54" s="548"/>
      <c r="E54" s="548"/>
      <c r="F54" s="548"/>
      <c r="G54" s="548"/>
      <c r="H54" s="548"/>
      <c r="I54" s="548">
        <v>168928</v>
      </c>
      <c r="J54" s="548">
        <v>170443</v>
      </c>
      <c r="K54" s="548">
        <v>165607</v>
      </c>
      <c r="L54" s="548">
        <v>144767</v>
      </c>
      <c r="M54" s="548">
        <v>175439</v>
      </c>
      <c r="N54" s="548">
        <v>158838</v>
      </c>
      <c r="O54" s="548">
        <v>157772</v>
      </c>
      <c r="P54" s="548">
        <v>167349</v>
      </c>
      <c r="Q54" s="548">
        <v>219614</v>
      </c>
      <c r="R54" s="548">
        <v>224505</v>
      </c>
      <c r="S54" s="548">
        <v>253155</v>
      </c>
      <c r="T54" s="548">
        <v>277835</v>
      </c>
      <c r="U54" s="548">
        <v>300678</v>
      </c>
      <c r="V54" s="548">
        <v>298407</v>
      </c>
      <c r="W54" s="548">
        <v>303049</v>
      </c>
      <c r="X54" s="548">
        <v>318829</v>
      </c>
      <c r="Y54" s="548">
        <v>307759</v>
      </c>
      <c r="Z54" s="548">
        <v>354430</v>
      </c>
      <c r="AA54" s="1226">
        <v>351993</v>
      </c>
      <c r="AB54" s="1166">
        <v>327307</v>
      </c>
    </row>
    <row r="55" spans="1:28" ht="15.75">
      <c r="A55" s="611"/>
      <c r="B55" s="614" t="s">
        <v>51</v>
      </c>
      <c r="C55" s="549"/>
      <c r="D55" s="549"/>
      <c r="E55" s="549"/>
      <c r="F55" s="549"/>
      <c r="G55" s="549"/>
      <c r="H55" s="549"/>
      <c r="I55" s="549">
        <v>85973</v>
      </c>
      <c r="J55" s="549">
        <v>86868</v>
      </c>
      <c r="K55" s="549">
        <v>84268</v>
      </c>
      <c r="L55" s="549">
        <v>80288</v>
      </c>
      <c r="M55" s="549">
        <v>96269</v>
      </c>
      <c r="N55" s="549">
        <v>96908</v>
      </c>
      <c r="O55" s="549">
        <v>128833</v>
      </c>
      <c r="P55" s="549">
        <v>119383</v>
      </c>
      <c r="Q55" s="549">
        <v>121518</v>
      </c>
      <c r="R55" s="549">
        <v>137503</v>
      </c>
      <c r="S55" s="549">
        <v>146465</v>
      </c>
      <c r="T55" s="549">
        <v>154571</v>
      </c>
      <c r="U55" s="549">
        <v>155016</v>
      </c>
      <c r="V55" s="549">
        <v>155568</v>
      </c>
      <c r="W55" s="549">
        <v>166860</v>
      </c>
      <c r="X55" s="549">
        <v>164209</v>
      </c>
      <c r="Y55" s="549">
        <v>179879</v>
      </c>
      <c r="Z55" s="549">
        <v>183530</v>
      </c>
      <c r="AA55" s="1227">
        <v>198941</v>
      </c>
      <c r="AB55" s="1167">
        <v>211924</v>
      </c>
    </row>
    <row r="56" spans="1:28" ht="15.75">
      <c r="A56" s="612"/>
      <c r="B56" s="510" t="s">
        <v>52</v>
      </c>
      <c r="C56" s="538">
        <v>0</v>
      </c>
      <c r="D56" s="538">
        <v>0</v>
      </c>
      <c r="E56" s="538">
        <v>0</v>
      </c>
      <c r="F56" s="538">
        <v>0</v>
      </c>
      <c r="G56" s="538">
        <v>0</v>
      </c>
      <c r="H56" s="538">
        <v>0</v>
      </c>
      <c r="I56" s="538">
        <v>543087</v>
      </c>
      <c r="J56" s="538">
        <v>596749</v>
      </c>
      <c r="K56" s="538">
        <v>592847</v>
      </c>
      <c r="L56" s="538">
        <v>593067</v>
      </c>
      <c r="M56" s="538">
        <v>716821</v>
      </c>
      <c r="N56" s="538">
        <v>733845</v>
      </c>
      <c r="O56" s="538">
        <v>756398</v>
      </c>
      <c r="P56" s="538">
        <v>787726</v>
      </c>
      <c r="Q56" s="538">
        <v>871988</v>
      </c>
      <c r="R56" s="538">
        <v>982821</v>
      </c>
      <c r="S56" s="538">
        <v>1124758</v>
      </c>
      <c r="T56" s="538">
        <v>1168861</v>
      </c>
      <c r="U56" s="538">
        <v>1167196</v>
      </c>
      <c r="V56" s="538">
        <v>1230238</v>
      </c>
      <c r="W56" s="538">
        <v>1342619</v>
      </c>
      <c r="X56" s="538">
        <v>1386700</v>
      </c>
      <c r="Y56" s="538">
        <v>1421130</v>
      </c>
      <c r="Z56" s="538">
        <v>1497612</v>
      </c>
      <c r="AA56" s="1167">
        <v>1594237</v>
      </c>
      <c r="AB56" s="1168">
        <f>SUM(AB50:AB55)</f>
        <v>1747483</v>
      </c>
    </row>
    <row r="57" spans="1:28" ht="15.75">
      <c r="A57" s="615"/>
      <c r="B57" s="499"/>
      <c r="C57" s="499"/>
      <c r="D57" s="499"/>
      <c r="E57" s="499"/>
      <c r="F57" s="499"/>
      <c r="G57" s="499"/>
      <c r="H57" s="499"/>
      <c r="I57" s="499"/>
      <c r="J57" s="499"/>
      <c r="K57" s="499"/>
      <c r="L57" s="499"/>
      <c r="M57" s="499"/>
      <c r="N57" s="499"/>
      <c r="O57" s="499"/>
      <c r="P57" s="499"/>
      <c r="Q57" s="499"/>
      <c r="R57" s="499"/>
      <c r="S57" s="499"/>
      <c r="T57" s="499"/>
      <c r="U57" s="499"/>
      <c r="V57" s="499"/>
      <c r="W57" s="499"/>
      <c r="X57" s="499"/>
      <c r="Y57" s="499"/>
      <c r="Z57" s="499"/>
      <c r="AA57" s="1090"/>
      <c r="AB57" s="1224"/>
    </row>
    <row r="58" spans="1:28" ht="15.75">
      <c r="A58" s="615"/>
      <c r="B58" s="499"/>
      <c r="C58" s="499"/>
      <c r="D58" s="499"/>
      <c r="E58" s="499"/>
      <c r="F58" s="499"/>
      <c r="G58" s="499"/>
      <c r="H58" s="499"/>
      <c r="I58" s="499"/>
      <c r="J58" s="499"/>
      <c r="K58" s="499"/>
      <c r="L58" s="499"/>
      <c r="M58" s="499"/>
      <c r="N58" s="499"/>
      <c r="O58" s="499"/>
      <c r="P58" s="499"/>
      <c r="Q58" s="499"/>
      <c r="R58" s="499"/>
      <c r="S58" s="499"/>
      <c r="T58" s="499"/>
      <c r="U58" s="499"/>
      <c r="V58" s="499"/>
      <c r="W58" s="499"/>
      <c r="X58" s="499"/>
      <c r="Y58" s="499"/>
      <c r="Z58" s="499"/>
      <c r="AA58" s="1090"/>
      <c r="AB58" s="1224"/>
    </row>
    <row r="59" spans="1:28" ht="15.75">
      <c r="A59" s="608" t="s">
        <v>53</v>
      </c>
      <c r="B59" s="534"/>
      <c r="C59" s="534">
        <v>1996</v>
      </c>
      <c r="D59" s="534">
        <v>1997</v>
      </c>
      <c r="E59" s="534">
        <v>1998</v>
      </c>
      <c r="F59" s="534">
        <v>1999</v>
      </c>
      <c r="G59" s="534">
        <v>2000</v>
      </c>
      <c r="H59" s="534">
        <v>2001</v>
      </c>
      <c r="I59" s="534">
        <v>2002</v>
      </c>
      <c r="J59" s="534">
        <v>2003</v>
      </c>
      <c r="K59" s="534">
        <v>2004</v>
      </c>
      <c r="L59" s="534">
        <v>2005</v>
      </c>
      <c r="M59" s="534">
        <v>2006</v>
      </c>
      <c r="N59" s="534">
        <v>2007</v>
      </c>
      <c r="O59" s="534">
        <v>2008</v>
      </c>
      <c r="P59" s="534">
        <v>2009</v>
      </c>
      <c r="Q59" s="534">
        <v>2010</v>
      </c>
      <c r="R59" s="534">
        <v>2011</v>
      </c>
      <c r="S59" s="534">
        <v>2012</v>
      </c>
      <c r="T59" s="534">
        <v>2013</v>
      </c>
      <c r="U59" s="534">
        <v>2014</v>
      </c>
      <c r="V59" s="534">
        <v>2015</v>
      </c>
      <c r="W59" s="534">
        <v>2016</v>
      </c>
      <c r="X59" s="534">
        <v>2017</v>
      </c>
      <c r="Y59" s="534">
        <v>2018</v>
      </c>
      <c r="Z59" s="534">
        <v>2019</v>
      </c>
      <c r="AA59" s="1106">
        <v>2020</v>
      </c>
      <c r="AB59" s="1187">
        <f t="shared" ref="AB59" si="1">AA59+1</f>
        <v>2021</v>
      </c>
    </row>
    <row r="60" spans="1:28" ht="15.75">
      <c r="A60" s="618" t="s">
        <v>55</v>
      </c>
      <c r="B60" s="544"/>
      <c r="C60" s="547">
        <v>0</v>
      </c>
      <c r="D60" s="547">
        <v>0</v>
      </c>
      <c r="E60" s="547">
        <v>0</v>
      </c>
      <c r="F60" s="547">
        <v>0</v>
      </c>
      <c r="G60" s="547">
        <v>0</v>
      </c>
      <c r="H60" s="547">
        <v>0</v>
      </c>
      <c r="I60" s="547">
        <v>130863</v>
      </c>
      <c r="J60" s="547">
        <v>152288</v>
      </c>
      <c r="K60" s="547">
        <v>142022</v>
      </c>
      <c r="L60" s="547">
        <v>138686</v>
      </c>
      <c r="M60" s="547">
        <v>151432</v>
      </c>
      <c r="N60" s="547">
        <v>152535</v>
      </c>
      <c r="O60" s="547">
        <v>146583</v>
      </c>
      <c r="P60" s="547">
        <v>152043</v>
      </c>
      <c r="Q60" s="547">
        <v>163979</v>
      </c>
      <c r="R60" s="547">
        <v>186630</v>
      </c>
      <c r="S60" s="547">
        <v>203923</v>
      </c>
      <c r="T60" s="547">
        <v>218006</v>
      </c>
      <c r="U60" s="547">
        <v>219231</v>
      </c>
      <c r="V60" s="547">
        <v>224805</v>
      </c>
      <c r="W60" s="547">
        <v>248238</v>
      </c>
      <c r="X60" s="547">
        <v>246110</v>
      </c>
      <c r="Y60" s="547">
        <v>253530</v>
      </c>
      <c r="Z60" s="547">
        <v>267740</v>
      </c>
      <c r="AA60" s="1225">
        <v>268315</v>
      </c>
      <c r="AB60" s="1108">
        <v>269247</v>
      </c>
    </row>
    <row r="61" spans="1:28" ht="15.75">
      <c r="A61" s="619" t="s">
        <v>56</v>
      </c>
      <c r="B61" s="545"/>
      <c r="C61" s="548">
        <v>0</v>
      </c>
      <c r="D61" s="548">
        <v>0</v>
      </c>
      <c r="E61" s="548">
        <v>0</v>
      </c>
      <c r="F61" s="548">
        <v>0</v>
      </c>
      <c r="G61" s="548">
        <v>0</v>
      </c>
      <c r="H61" s="548">
        <v>0</v>
      </c>
      <c r="I61" s="548">
        <v>174411</v>
      </c>
      <c r="J61" s="548">
        <v>182776</v>
      </c>
      <c r="K61" s="548">
        <v>187697</v>
      </c>
      <c r="L61" s="548">
        <v>185009</v>
      </c>
      <c r="M61" s="548">
        <v>217563</v>
      </c>
      <c r="N61" s="548">
        <v>232620</v>
      </c>
      <c r="O61" s="548">
        <v>239306</v>
      </c>
      <c r="P61" s="548">
        <v>225906</v>
      </c>
      <c r="Q61" s="548">
        <v>284996</v>
      </c>
      <c r="R61" s="548">
        <v>304584</v>
      </c>
      <c r="S61" s="548">
        <v>343012</v>
      </c>
      <c r="T61" s="548">
        <v>339676</v>
      </c>
      <c r="U61" s="548">
        <v>296359</v>
      </c>
      <c r="V61" s="548">
        <v>269951</v>
      </c>
      <c r="W61" s="548">
        <v>287770</v>
      </c>
      <c r="X61" s="548">
        <v>283849</v>
      </c>
      <c r="Y61" s="548">
        <v>282050</v>
      </c>
      <c r="Z61" s="548">
        <v>282535</v>
      </c>
      <c r="AA61" s="1226">
        <v>277981</v>
      </c>
      <c r="AB61" s="1166">
        <v>277144</v>
      </c>
    </row>
    <row r="62" spans="1:28" ht="15.75">
      <c r="A62" s="619" t="s">
        <v>57</v>
      </c>
      <c r="B62" s="545"/>
      <c r="C62" s="548">
        <v>0</v>
      </c>
      <c r="D62" s="548">
        <v>0</v>
      </c>
      <c r="E62" s="548">
        <v>0</v>
      </c>
      <c r="F62" s="548">
        <v>0</v>
      </c>
      <c r="G62" s="548">
        <v>0</v>
      </c>
      <c r="H62" s="548">
        <v>0</v>
      </c>
      <c r="I62" s="548">
        <v>36929</v>
      </c>
      <c r="J62" s="548">
        <v>39564</v>
      </c>
      <c r="K62" s="548">
        <v>45354</v>
      </c>
      <c r="L62" s="548">
        <v>63763</v>
      </c>
      <c r="M62" s="548">
        <v>102645</v>
      </c>
      <c r="N62" s="548">
        <v>106623</v>
      </c>
      <c r="O62" s="548">
        <v>79567</v>
      </c>
      <c r="P62" s="548">
        <v>57124</v>
      </c>
      <c r="Q62" s="548">
        <v>75525</v>
      </c>
      <c r="R62" s="548">
        <v>97711</v>
      </c>
      <c r="S62" s="548">
        <v>112058</v>
      </c>
      <c r="T62" s="548">
        <v>123771</v>
      </c>
      <c r="U62" s="548">
        <v>127263</v>
      </c>
      <c r="V62" s="548">
        <v>109007</v>
      </c>
      <c r="W62" s="548">
        <v>120334</v>
      </c>
      <c r="X62" s="548">
        <v>131442</v>
      </c>
      <c r="Y62" s="548">
        <v>131711</v>
      </c>
      <c r="Z62" s="548">
        <v>141393</v>
      </c>
      <c r="AA62" s="1226">
        <v>150963</v>
      </c>
      <c r="AB62" s="1166">
        <v>158207</v>
      </c>
    </row>
    <row r="63" spans="1:28" ht="15.75">
      <c r="A63" s="619" t="s">
        <v>58</v>
      </c>
      <c r="B63" s="545"/>
      <c r="C63" s="548">
        <v>0</v>
      </c>
      <c r="D63" s="548">
        <v>0</v>
      </c>
      <c r="E63" s="548">
        <v>0</v>
      </c>
      <c r="F63" s="548">
        <v>0</v>
      </c>
      <c r="G63" s="548">
        <v>0</v>
      </c>
      <c r="H63" s="548">
        <v>0</v>
      </c>
      <c r="I63" s="548">
        <v>6300</v>
      </c>
      <c r="J63" s="548">
        <v>12003</v>
      </c>
      <c r="K63" s="548">
        <v>18942</v>
      </c>
      <c r="L63" s="548">
        <v>21449</v>
      </c>
      <c r="M63" s="548">
        <v>26292</v>
      </c>
      <c r="N63" s="548">
        <v>33411</v>
      </c>
      <c r="O63" s="548">
        <v>48815</v>
      </c>
      <c r="P63" s="548">
        <v>68392</v>
      </c>
      <c r="Q63" s="548">
        <v>84538</v>
      </c>
      <c r="R63" s="548">
        <v>118116</v>
      </c>
      <c r="S63" s="548">
        <v>152022</v>
      </c>
      <c r="T63" s="548">
        <v>154324</v>
      </c>
      <c r="U63" s="548">
        <v>176004</v>
      </c>
      <c r="V63" s="548">
        <v>278233</v>
      </c>
      <c r="W63" s="548">
        <v>321872</v>
      </c>
      <c r="X63" s="548">
        <v>352004</v>
      </c>
      <c r="Y63" s="548">
        <v>376508</v>
      </c>
      <c r="Z63" s="548">
        <v>399005</v>
      </c>
      <c r="AA63" s="1226">
        <v>483948</v>
      </c>
      <c r="AB63" s="1166">
        <v>638661</v>
      </c>
    </row>
    <row r="64" spans="1:28" ht="15.75">
      <c r="A64" s="619" t="s">
        <v>59</v>
      </c>
      <c r="B64" s="545"/>
      <c r="C64" s="548">
        <v>0</v>
      </c>
      <c r="D64" s="548">
        <v>0</v>
      </c>
      <c r="E64" s="548">
        <v>0</v>
      </c>
      <c r="F64" s="548">
        <v>0</v>
      </c>
      <c r="G64" s="548">
        <v>0</v>
      </c>
      <c r="H64" s="548">
        <v>0</v>
      </c>
      <c r="I64" s="548">
        <v>139817</v>
      </c>
      <c r="J64" s="548">
        <v>148567</v>
      </c>
      <c r="K64" s="548">
        <v>143484</v>
      </c>
      <c r="L64" s="548">
        <v>132816</v>
      </c>
      <c r="M64" s="548">
        <v>155354</v>
      </c>
      <c r="N64" s="548">
        <v>146709</v>
      </c>
      <c r="O64" s="548">
        <v>147154</v>
      </c>
      <c r="P64" s="548">
        <v>140631</v>
      </c>
      <c r="Q64" s="548">
        <v>185873</v>
      </c>
      <c r="R64" s="548">
        <v>200503</v>
      </c>
      <c r="S64" s="548">
        <v>226582</v>
      </c>
      <c r="T64" s="548">
        <v>241251</v>
      </c>
      <c r="U64" s="548">
        <v>251126</v>
      </c>
      <c r="V64" s="548">
        <v>252208</v>
      </c>
      <c r="W64" s="548">
        <v>270107</v>
      </c>
      <c r="X64" s="548">
        <v>277270</v>
      </c>
      <c r="Y64" s="548">
        <v>278266</v>
      </c>
      <c r="Z64" s="548">
        <v>302767</v>
      </c>
      <c r="AA64" s="1226">
        <v>299831</v>
      </c>
      <c r="AB64" s="1166">
        <v>293986</v>
      </c>
    </row>
    <row r="65" spans="1:28" ht="15.75">
      <c r="A65" s="620" t="s">
        <v>51</v>
      </c>
      <c r="B65" s="546"/>
      <c r="C65" s="549">
        <v>0</v>
      </c>
      <c r="D65" s="549">
        <v>0</v>
      </c>
      <c r="E65" s="549">
        <v>0</v>
      </c>
      <c r="F65" s="549">
        <v>0</v>
      </c>
      <c r="G65" s="549">
        <v>0</v>
      </c>
      <c r="H65" s="549">
        <v>0</v>
      </c>
      <c r="I65" s="549">
        <v>54767</v>
      </c>
      <c r="J65" s="549">
        <v>61551</v>
      </c>
      <c r="K65" s="549">
        <v>55348</v>
      </c>
      <c r="L65" s="549">
        <v>51344</v>
      </c>
      <c r="M65" s="549">
        <v>63535</v>
      </c>
      <c r="N65" s="549">
        <v>61947</v>
      </c>
      <c r="O65" s="549">
        <v>94973</v>
      </c>
      <c r="P65" s="549">
        <v>143630</v>
      </c>
      <c r="Q65" s="549">
        <v>77077</v>
      </c>
      <c r="R65" s="549">
        <v>75277</v>
      </c>
      <c r="S65" s="549">
        <v>87161</v>
      </c>
      <c r="T65" s="549">
        <v>91833</v>
      </c>
      <c r="U65" s="549">
        <v>97213</v>
      </c>
      <c r="V65" s="549">
        <v>96034</v>
      </c>
      <c r="W65" s="549">
        <v>94298</v>
      </c>
      <c r="X65" s="549">
        <v>96025</v>
      </c>
      <c r="Y65" s="549">
        <v>99065</v>
      </c>
      <c r="Z65" s="549">
        <v>104172</v>
      </c>
      <c r="AA65" s="1227">
        <v>113199</v>
      </c>
      <c r="AB65" s="1167">
        <v>110238</v>
      </c>
    </row>
    <row r="66" spans="1:28" ht="15.75">
      <c r="A66" s="609" t="s">
        <v>52</v>
      </c>
      <c r="B66" s="526"/>
      <c r="C66" s="538">
        <v>0</v>
      </c>
      <c r="D66" s="538">
        <v>0</v>
      </c>
      <c r="E66" s="538">
        <v>0</v>
      </c>
      <c r="F66" s="538">
        <v>0</v>
      </c>
      <c r="G66" s="538">
        <v>0</v>
      </c>
      <c r="H66" s="538">
        <v>0</v>
      </c>
      <c r="I66" s="538">
        <v>543087</v>
      </c>
      <c r="J66" s="538">
        <v>596749</v>
      </c>
      <c r="K66" s="538">
        <v>592847</v>
      </c>
      <c r="L66" s="538">
        <v>593067</v>
      </c>
      <c r="M66" s="538">
        <v>716821</v>
      </c>
      <c r="N66" s="538">
        <v>733845</v>
      </c>
      <c r="O66" s="538">
        <v>756398</v>
      </c>
      <c r="P66" s="538">
        <v>787726</v>
      </c>
      <c r="Q66" s="538">
        <v>871988</v>
      </c>
      <c r="R66" s="538">
        <v>982821</v>
      </c>
      <c r="S66" s="538">
        <v>1124758</v>
      </c>
      <c r="T66" s="538">
        <v>1168861</v>
      </c>
      <c r="U66" s="538">
        <v>1167196</v>
      </c>
      <c r="V66" s="538">
        <v>1230238</v>
      </c>
      <c r="W66" s="538">
        <v>1342619</v>
      </c>
      <c r="X66" s="538">
        <v>1386700</v>
      </c>
      <c r="Y66" s="538">
        <v>1421130</v>
      </c>
      <c r="Z66" s="538">
        <v>1497612</v>
      </c>
      <c r="AA66" s="1167">
        <v>1594237</v>
      </c>
      <c r="AB66" s="1167">
        <f>SUM(AB60:AB65)</f>
        <v>1747483</v>
      </c>
    </row>
    <row r="67" spans="1:28" ht="15.75">
      <c r="A67" s="615"/>
      <c r="B67" s="499"/>
      <c r="C67" s="499"/>
      <c r="D67" s="499"/>
      <c r="E67" s="499"/>
      <c r="F67" s="499"/>
      <c r="G67" s="499"/>
      <c r="H67" s="499"/>
      <c r="I67" s="499"/>
      <c r="J67" s="499"/>
      <c r="K67" s="499"/>
      <c r="L67" s="499"/>
      <c r="M67" s="499"/>
      <c r="N67" s="499"/>
      <c r="O67" s="499"/>
      <c r="P67" s="499"/>
      <c r="Q67" s="499"/>
      <c r="R67" s="499"/>
      <c r="S67" s="499"/>
      <c r="T67" s="499"/>
      <c r="U67" s="499"/>
      <c r="V67" s="499"/>
      <c r="W67" s="499"/>
      <c r="X67" s="499"/>
      <c r="Y67" s="499"/>
      <c r="Z67" s="499"/>
      <c r="AA67" s="1090"/>
      <c r="AB67" s="1224"/>
    </row>
    <row r="68" spans="1:28">
      <c r="AA68" s="1086"/>
      <c r="AB68" s="1224"/>
    </row>
    <row r="69" spans="1:28" ht="15.75">
      <c r="A69" s="608" t="s">
        <v>310</v>
      </c>
      <c r="B69" s="534"/>
      <c r="C69" s="534">
        <v>1996</v>
      </c>
      <c r="D69" s="534">
        <v>1997</v>
      </c>
      <c r="E69" s="534">
        <v>1998</v>
      </c>
      <c r="F69" s="534">
        <v>1999</v>
      </c>
      <c r="G69" s="534">
        <v>2000</v>
      </c>
      <c r="H69" s="534">
        <v>2001</v>
      </c>
      <c r="I69" s="534">
        <v>2002</v>
      </c>
      <c r="J69" s="534">
        <v>2003</v>
      </c>
      <c r="K69" s="534">
        <v>2004</v>
      </c>
      <c r="L69" s="534">
        <v>2005</v>
      </c>
      <c r="M69" s="534">
        <v>2006</v>
      </c>
      <c r="N69" s="534">
        <v>2007</v>
      </c>
      <c r="O69" s="534">
        <v>2008</v>
      </c>
      <c r="P69" s="534">
        <v>2009</v>
      </c>
      <c r="Q69" s="534">
        <v>2010</v>
      </c>
      <c r="R69" s="534">
        <v>2011</v>
      </c>
      <c r="S69" s="534">
        <v>2012</v>
      </c>
      <c r="T69" s="534">
        <v>2013</v>
      </c>
      <c r="U69" s="534">
        <v>2014</v>
      </c>
      <c r="V69" s="534">
        <v>2015</v>
      </c>
      <c r="W69" s="534">
        <v>2016</v>
      </c>
      <c r="X69" s="534">
        <v>2017</v>
      </c>
      <c r="Y69" s="534">
        <v>2018</v>
      </c>
      <c r="Z69" s="534">
        <v>2019</v>
      </c>
      <c r="AA69" s="1106">
        <v>2020</v>
      </c>
      <c r="AB69" s="1187">
        <f t="shared" ref="AB69" si="2">AA69+1</f>
        <v>2021</v>
      </c>
    </row>
    <row r="70" spans="1:28" ht="15.75">
      <c r="A70" s="618" t="s">
        <v>55</v>
      </c>
      <c r="B70" s="544"/>
      <c r="C70" s="547">
        <v>0</v>
      </c>
      <c r="D70" s="547">
        <v>0</v>
      </c>
      <c r="E70" s="547">
        <v>0</v>
      </c>
      <c r="F70" s="547">
        <v>0</v>
      </c>
      <c r="G70" s="547">
        <v>0</v>
      </c>
      <c r="H70" s="547">
        <v>0</v>
      </c>
      <c r="I70" s="547">
        <v>102691</v>
      </c>
      <c r="J70" s="547">
        <v>123382</v>
      </c>
      <c r="K70" s="547">
        <v>120352</v>
      </c>
      <c r="L70" s="547">
        <v>118251</v>
      </c>
      <c r="M70" s="547">
        <v>125138</v>
      </c>
      <c r="N70" s="547">
        <v>121492</v>
      </c>
      <c r="O70" s="547">
        <v>115614</v>
      </c>
      <c r="P70" s="547">
        <v>122424</v>
      </c>
      <c r="Q70" s="547">
        <v>104210</v>
      </c>
      <c r="R70" s="547">
        <v>115657</v>
      </c>
      <c r="S70" s="547">
        <v>119775</v>
      </c>
      <c r="T70" s="547">
        <v>124358</v>
      </c>
      <c r="U70" s="547">
        <v>121346</v>
      </c>
      <c r="V70" s="547">
        <v>125716</v>
      </c>
      <c r="W70" s="547">
        <v>156540</v>
      </c>
      <c r="X70" s="547">
        <v>163279</v>
      </c>
      <c r="Y70" s="547">
        <v>187808</v>
      </c>
      <c r="Z70" s="547">
        <v>201277</v>
      </c>
      <c r="AA70" s="1225">
        <v>199027</v>
      </c>
      <c r="AB70" s="1108">
        <v>182052</v>
      </c>
    </row>
    <row r="71" spans="1:28" ht="15.75">
      <c r="A71" s="619" t="s">
        <v>56</v>
      </c>
      <c r="B71" s="545"/>
      <c r="C71" s="548">
        <v>0</v>
      </c>
      <c r="D71" s="548">
        <v>0</v>
      </c>
      <c r="E71" s="548">
        <v>0</v>
      </c>
      <c r="F71" s="548">
        <v>0</v>
      </c>
      <c r="G71" s="548">
        <v>0</v>
      </c>
      <c r="H71" s="548">
        <v>0</v>
      </c>
      <c r="I71" s="548">
        <v>119192</v>
      </c>
      <c r="J71" s="548">
        <v>122522</v>
      </c>
      <c r="K71" s="548">
        <v>124192</v>
      </c>
      <c r="L71" s="548">
        <v>122944</v>
      </c>
      <c r="M71" s="548">
        <v>141399</v>
      </c>
      <c r="N71" s="548">
        <v>164954</v>
      </c>
      <c r="O71" s="548">
        <v>176950</v>
      </c>
      <c r="P71" s="548">
        <v>193349</v>
      </c>
      <c r="Q71" s="548">
        <v>222693</v>
      </c>
      <c r="R71" s="548">
        <v>238323</v>
      </c>
      <c r="S71" s="548">
        <v>274791</v>
      </c>
      <c r="T71" s="548">
        <v>277079</v>
      </c>
      <c r="U71" s="548">
        <v>227142</v>
      </c>
      <c r="V71" s="548">
        <v>189358</v>
      </c>
      <c r="W71" s="548">
        <v>203087</v>
      </c>
      <c r="X71" s="548">
        <v>199577</v>
      </c>
      <c r="Y71" s="548">
        <v>194525</v>
      </c>
      <c r="Z71" s="548">
        <v>179910</v>
      </c>
      <c r="AA71" s="1226">
        <v>179383</v>
      </c>
      <c r="AB71" s="1166">
        <v>184372</v>
      </c>
    </row>
    <row r="72" spans="1:28" ht="15.75">
      <c r="A72" s="619" t="s">
        <v>57</v>
      </c>
      <c r="B72" s="545"/>
      <c r="C72" s="548">
        <v>0</v>
      </c>
      <c r="D72" s="548">
        <v>0</v>
      </c>
      <c r="E72" s="548">
        <v>0</v>
      </c>
      <c r="F72" s="548">
        <v>0</v>
      </c>
      <c r="G72" s="548">
        <v>0</v>
      </c>
      <c r="H72" s="548">
        <v>0</v>
      </c>
      <c r="I72" s="548">
        <v>45046</v>
      </c>
      <c r="J72" s="548">
        <v>44178</v>
      </c>
      <c r="K72" s="548">
        <v>49068</v>
      </c>
      <c r="L72" s="548">
        <v>73512</v>
      </c>
      <c r="M72" s="548">
        <v>120790</v>
      </c>
      <c r="N72" s="548">
        <v>123705</v>
      </c>
      <c r="O72" s="548">
        <v>83523</v>
      </c>
      <c r="P72" s="548">
        <v>56732</v>
      </c>
      <c r="Q72" s="548">
        <v>68843</v>
      </c>
      <c r="R72" s="548">
        <v>94720</v>
      </c>
      <c r="S72" s="548">
        <v>113467</v>
      </c>
      <c r="T72" s="548">
        <v>127330</v>
      </c>
      <c r="U72" s="548">
        <v>129786</v>
      </c>
      <c r="V72" s="548">
        <v>101873</v>
      </c>
      <c r="W72" s="548">
        <v>108875</v>
      </c>
      <c r="X72" s="548">
        <v>120662</v>
      </c>
      <c r="Y72" s="548">
        <v>119012</v>
      </c>
      <c r="Z72" s="548">
        <v>125661</v>
      </c>
      <c r="AA72" s="1226">
        <v>134766</v>
      </c>
      <c r="AB72" s="1166">
        <v>145882</v>
      </c>
    </row>
    <row r="73" spans="1:28" ht="15.75">
      <c r="A73" s="619" t="s">
        <v>58</v>
      </c>
      <c r="B73" s="545"/>
      <c r="C73" s="548">
        <v>0</v>
      </c>
      <c r="D73" s="548">
        <v>0</v>
      </c>
      <c r="E73" s="548">
        <v>0</v>
      </c>
      <c r="F73" s="548">
        <v>0</v>
      </c>
      <c r="G73" s="548">
        <v>0</v>
      </c>
      <c r="H73" s="548">
        <v>0</v>
      </c>
      <c r="I73" s="548">
        <v>21257</v>
      </c>
      <c r="J73" s="548">
        <v>49356</v>
      </c>
      <c r="K73" s="548">
        <v>49360</v>
      </c>
      <c r="L73" s="548">
        <v>53305</v>
      </c>
      <c r="M73" s="548">
        <v>57786</v>
      </c>
      <c r="N73" s="548">
        <v>67948</v>
      </c>
      <c r="O73" s="548">
        <v>93706</v>
      </c>
      <c r="P73" s="548">
        <v>128489</v>
      </c>
      <c r="Q73" s="548">
        <v>135110</v>
      </c>
      <c r="R73" s="548">
        <v>172113</v>
      </c>
      <c r="S73" s="548">
        <v>217105</v>
      </c>
      <c r="T73" s="548">
        <v>207688</v>
      </c>
      <c r="U73" s="548">
        <v>233228</v>
      </c>
      <c r="V73" s="548">
        <v>359316</v>
      </c>
      <c r="W73" s="548">
        <v>404208</v>
      </c>
      <c r="X73" s="548">
        <v>420144</v>
      </c>
      <c r="Y73" s="548">
        <v>432147</v>
      </c>
      <c r="Z73" s="548">
        <v>452804</v>
      </c>
      <c r="AA73" s="1226">
        <v>530127</v>
      </c>
      <c r="AB73" s="1166">
        <v>695946</v>
      </c>
    </row>
    <row r="74" spans="1:28" ht="15.75">
      <c r="A74" s="619" t="s">
        <v>59</v>
      </c>
      <c r="B74" s="545"/>
      <c r="C74" s="548">
        <v>0</v>
      </c>
      <c r="D74" s="548">
        <v>0</v>
      </c>
      <c r="E74" s="548">
        <v>0</v>
      </c>
      <c r="F74" s="548">
        <v>0</v>
      </c>
      <c r="G74" s="548">
        <v>0</v>
      </c>
      <c r="H74" s="548">
        <v>0</v>
      </c>
      <c r="I74" s="548">
        <v>168928</v>
      </c>
      <c r="J74" s="548">
        <v>170443</v>
      </c>
      <c r="K74" s="548">
        <v>165607</v>
      </c>
      <c r="L74" s="548">
        <v>144767</v>
      </c>
      <c r="M74" s="548">
        <v>175439</v>
      </c>
      <c r="N74" s="548">
        <v>158838</v>
      </c>
      <c r="O74" s="548">
        <v>157772</v>
      </c>
      <c r="P74" s="548">
        <v>167349</v>
      </c>
      <c r="Q74" s="548">
        <v>219614</v>
      </c>
      <c r="R74" s="548">
        <v>224505</v>
      </c>
      <c r="S74" s="548">
        <v>253155</v>
      </c>
      <c r="T74" s="548">
        <v>277835</v>
      </c>
      <c r="U74" s="548">
        <v>300678</v>
      </c>
      <c r="V74" s="548">
        <v>298407</v>
      </c>
      <c r="W74" s="548">
        <v>303049</v>
      </c>
      <c r="X74" s="548">
        <v>318829</v>
      </c>
      <c r="Y74" s="548">
        <v>307759</v>
      </c>
      <c r="Z74" s="548">
        <v>354430</v>
      </c>
      <c r="AA74" s="1226">
        <v>351993</v>
      </c>
      <c r="AB74" s="1166">
        <v>327307</v>
      </c>
    </row>
    <row r="75" spans="1:28" ht="15.75">
      <c r="A75" s="620" t="s">
        <v>51</v>
      </c>
      <c r="B75" s="546"/>
      <c r="C75" s="549">
        <v>0</v>
      </c>
      <c r="D75" s="549">
        <v>0</v>
      </c>
      <c r="E75" s="549">
        <v>0</v>
      </c>
      <c r="F75" s="549">
        <v>0</v>
      </c>
      <c r="G75" s="549">
        <v>0</v>
      </c>
      <c r="H75" s="549">
        <v>0</v>
      </c>
      <c r="I75" s="549">
        <v>85973</v>
      </c>
      <c r="J75" s="549">
        <v>86868</v>
      </c>
      <c r="K75" s="549">
        <v>84268</v>
      </c>
      <c r="L75" s="549">
        <v>80288</v>
      </c>
      <c r="M75" s="549">
        <v>96269</v>
      </c>
      <c r="N75" s="549">
        <v>96908</v>
      </c>
      <c r="O75" s="549">
        <v>128833</v>
      </c>
      <c r="P75" s="549">
        <v>119383</v>
      </c>
      <c r="Q75" s="549">
        <v>121518</v>
      </c>
      <c r="R75" s="549">
        <v>137503</v>
      </c>
      <c r="S75" s="549">
        <v>146465</v>
      </c>
      <c r="T75" s="549">
        <v>154571</v>
      </c>
      <c r="U75" s="549">
        <v>155016</v>
      </c>
      <c r="V75" s="549">
        <v>155568</v>
      </c>
      <c r="W75" s="549">
        <v>166860</v>
      </c>
      <c r="X75" s="549">
        <v>164209</v>
      </c>
      <c r="Y75" s="549">
        <v>179879</v>
      </c>
      <c r="Z75" s="549">
        <v>183530</v>
      </c>
      <c r="AA75" s="1227">
        <v>198941</v>
      </c>
      <c r="AB75" s="1167">
        <v>211924</v>
      </c>
    </row>
    <row r="76" spans="1:28" ht="15.75">
      <c r="A76" s="609" t="s">
        <v>52</v>
      </c>
      <c r="B76" s="526"/>
      <c r="C76" s="538">
        <v>0</v>
      </c>
      <c r="D76" s="538">
        <v>0</v>
      </c>
      <c r="E76" s="538">
        <v>0</v>
      </c>
      <c r="F76" s="538">
        <v>0</v>
      </c>
      <c r="G76" s="538">
        <v>0</v>
      </c>
      <c r="H76" s="538">
        <v>0</v>
      </c>
      <c r="I76" s="538">
        <v>543087</v>
      </c>
      <c r="J76" s="538">
        <v>596749</v>
      </c>
      <c r="K76" s="538">
        <v>592847</v>
      </c>
      <c r="L76" s="538">
        <v>593067</v>
      </c>
      <c r="M76" s="538">
        <v>716821</v>
      </c>
      <c r="N76" s="538">
        <v>733845</v>
      </c>
      <c r="O76" s="538">
        <v>756398</v>
      </c>
      <c r="P76" s="538">
        <v>787726</v>
      </c>
      <c r="Q76" s="538">
        <v>871988</v>
      </c>
      <c r="R76" s="538">
        <v>982821</v>
      </c>
      <c r="S76" s="538">
        <v>1124758</v>
      </c>
      <c r="T76" s="538">
        <v>1168861</v>
      </c>
      <c r="U76" s="538">
        <v>1167196</v>
      </c>
      <c r="V76" s="538">
        <v>1230238</v>
      </c>
      <c r="W76" s="538">
        <v>1342619</v>
      </c>
      <c r="X76" s="538">
        <v>1386700</v>
      </c>
      <c r="Y76" s="538">
        <v>1421130</v>
      </c>
      <c r="Z76" s="538">
        <v>1497612</v>
      </c>
      <c r="AA76" s="1167">
        <v>1594237</v>
      </c>
      <c r="AB76" s="1168">
        <f>SUM(AB70:AB75)</f>
        <v>1747483</v>
      </c>
    </row>
    <row r="77" spans="1:28" ht="15.75">
      <c r="A77" s="615"/>
      <c r="B77" s="499"/>
      <c r="C77" s="499"/>
      <c r="D77" s="499"/>
      <c r="E77" s="499"/>
      <c r="F77" s="499"/>
      <c r="G77" s="499"/>
      <c r="H77" s="499"/>
      <c r="I77" s="499"/>
      <c r="J77" s="499"/>
      <c r="K77" s="499"/>
      <c r="L77" s="499"/>
      <c r="M77" s="499"/>
      <c r="N77" s="499"/>
      <c r="O77" s="499"/>
      <c r="P77" s="499"/>
      <c r="Q77" s="499"/>
      <c r="R77" s="499"/>
      <c r="S77" s="499"/>
      <c r="T77" s="499"/>
      <c r="U77" s="499"/>
      <c r="V77" s="499"/>
      <c r="W77" s="499"/>
      <c r="X77" s="499"/>
      <c r="Y77" s="499"/>
      <c r="Z77" s="499"/>
      <c r="AA77" s="1090"/>
      <c r="AB77" s="1224"/>
    </row>
    <row r="78" spans="1:28" ht="15.75">
      <c r="A78" s="615"/>
      <c r="B78" s="499"/>
      <c r="C78" s="499"/>
      <c r="D78" s="499"/>
      <c r="E78" s="499"/>
      <c r="F78" s="499"/>
      <c r="G78" s="499"/>
      <c r="H78" s="499"/>
      <c r="I78" s="499"/>
      <c r="J78" s="499"/>
      <c r="K78" s="499"/>
      <c r="L78" s="499"/>
      <c r="M78" s="499"/>
      <c r="N78" s="499"/>
      <c r="O78" s="499"/>
      <c r="P78" s="499"/>
      <c r="Q78" s="499"/>
      <c r="R78" s="499"/>
      <c r="S78" s="499"/>
      <c r="T78" s="499"/>
      <c r="U78" s="499"/>
      <c r="V78" s="499"/>
      <c r="W78" s="499"/>
      <c r="X78" s="499"/>
      <c r="Y78" s="499"/>
      <c r="Z78" s="499"/>
      <c r="AA78" s="1090"/>
      <c r="AB78" s="1224"/>
    </row>
    <row r="79" spans="1:28" ht="15.75">
      <c r="A79" s="615"/>
      <c r="B79" s="499"/>
      <c r="C79" s="499"/>
      <c r="D79" s="499"/>
      <c r="E79" s="499"/>
      <c r="F79" s="499"/>
      <c r="G79" s="499"/>
      <c r="H79" s="499"/>
      <c r="I79" s="499"/>
      <c r="J79" s="499"/>
      <c r="K79" s="499"/>
      <c r="L79" s="499"/>
      <c r="M79" s="499"/>
      <c r="N79" s="499"/>
      <c r="O79" s="499"/>
      <c r="P79" s="499"/>
      <c r="Q79" s="499"/>
      <c r="R79" s="499"/>
      <c r="S79" s="499"/>
      <c r="T79" s="499"/>
      <c r="U79" s="499"/>
      <c r="V79" s="499"/>
      <c r="W79" s="499"/>
      <c r="X79" s="499"/>
      <c r="Y79" s="499"/>
      <c r="Z79" s="499"/>
      <c r="AA79" s="1090"/>
      <c r="AB79" s="1224"/>
    </row>
    <row r="80" spans="1:28" ht="15.75">
      <c r="A80" s="615"/>
      <c r="B80" s="499"/>
      <c r="C80" s="499"/>
      <c r="D80" s="499"/>
      <c r="E80" s="499"/>
      <c r="F80" s="499"/>
      <c r="G80" s="499"/>
      <c r="H80" s="499"/>
      <c r="I80" s="499"/>
      <c r="J80" s="499"/>
      <c r="K80" s="499"/>
      <c r="L80" s="499"/>
      <c r="M80" s="499"/>
      <c r="N80" s="499"/>
      <c r="O80" s="499"/>
      <c r="P80" s="499"/>
      <c r="Q80" s="621"/>
      <c r="R80" s="621"/>
      <c r="S80" s="621"/>
      <c r="T80" s="621"/>
      <c r="U80" s="621"/>
      <c r="V80" s="621"/>
      <c r="W80" s="621"/>
      <c r="X80" s="621"/>
      <c r="Y80" s="621"/>
      <c r="Z80" s="621"/>
      <c r="AA80" s="1228"/>
      <c r="AB80" s="1224"/>
    </row>
    <row r="81" spans="1:28" ht="18.75">
      <c r="A81" s="495" t="s">
        <v>320</v>
      </c>
      <c r="AA81" s="1086"/>
      <c r="AB81" s="1224"/>
    </row>
    <row r="82" spans="1:28">
      <c r="A82" s="497" t="s">
        <v>310</v>
      </c>
      <c r="B82" s="514"/>
      <c r="C82" s="534">
        <v>1996</v>
      </c>
      <c r="D82" s="534">
        <v>1997</v>
      </c>
      <c r="E82" s="534">
        <v>1998</v>
      </c>
      <c r="F82" s="534">
        <v>1999</v>
      </c>
      <c r="G82" s="534">
        <v>2000</v>
      </c>
      <c r="H82" s="534">
        <v>2001</v>
      </c>
      <c r="I82" s="534">
        <v>2002</v>
      </c>
      <c r="J82" s="534">
        <v>2003</v>
      </c>
      <c r="K82" s="534">
        <v>2004</v>
      </c>
      <c r="L82" s="534">
        <v>2005</v>
      </c>
      <c r="M82" s="534">
        <v>2006</v>
      </c>
      <c r="N82" s="534">
        <v>2007</v>
      </c>
      <c r="O82" s="534">
        <v>2008</v>
      </c>
      <c r="P82" s="534">
        <v>2009</v>
      </c>
      <c r="Q82" s="534">
        <v>2010</v>
      </c>
      <c r="R82" s="534">
        <v>2011</v>
      </c>
      <c r="S82" s="534">
        <v>2012</v>
      </c>
      <c r="T82" s="534">
        <v>2013</v>
      </c>
      <c r="U82" s="534">
        <v>2014</v>
      </c>
      <c r="V82" s="534">
        <v>2015</v>
      </c>
      <c r="W82" s="534">
        <v>2016</v>
      </c>
      <c r="X82" s="534">
        <v>2017</v>
      </c>
      <c r="Y82" s="534">
        <v>2018</v>
      </c>
      <c r="Z82" s="534">
        <v>2019</v>
      </c>
      <c r="AA82" s="1106">
        <v>2020</v>
      </c>
      <c r="AB82" s="1187">
        <f t="shared" ref="AB82" si="3">AA82+1</f>
        <v>2021</v>
      </c>
    </row>
    <row r="83" spans="1:28">
      <c r="A83" s="616" t="s">
        <v>55</v>
      </c>
      <c r="B83" s="613"/>
      <c r="C83" s="547">
        <v>345534</v>
      </c>
      <c r="D83" s="547">
        <v>358195</v>
      </c>
      <c r="E83" s="547">
        <v>344974</v>
      </c>
      <c r="F83" s="547">
        <v>326924</v>
      </c>
      <c r="G83" s="547">
        <v>266225</v>
      </c>
      <c r="H83" s="547">
        <v>282468</v>
      </c>
      <c r="I83" s="547">
        <v>396655.61956862669</v>
      </c>
      <c r="J83" s="547">
        <v>542359.22576470301</v>
      </c>
      <c r="K83" s="547">
        <v>585357.74226784799</v>
      </c>
      <c r="L83" s="547">
        <v>619976.116987966</v>
      </c>
      <c r="M83" s="547">
        <v>708084.89867424301</v>
      </c>
      <c r="N83" s="547">
        <v>754908.01827165799</v>
      </c>
      <c r="O83" s="547">
        <v>868857.4</v>
      </c>
      <c r="P83" s="547">
        <v>881478.2</v>
      </c>
      <c r="Q83" s="547">
        <v>865190</v>
      </c>
      <c r="R83" s="547">
        <v>926979.40000000014</v>
      </c>
      <c r="S83" s="547">
        <v>959347</v>
      </c>
      <c r="T83" s="547">
        <v>988423.5</v>
      </c>
      <c r="U83" s="547">
        <v>928477</v>
      </c>
      <c r="V83" s="547">
        <v>1090050</v>
      </c>
      <c r="W83" s="547">
        <v>1502038</v>
      </c>
      <c r="X83" s="547">
        <v>1267216</v>
      </c>
      <c r="Y83" s="547">
        <v>1324480</v>
      </c>
      <c r="Z83" s="547">
        <v>1414780</v>
      </c>
      <c r="AA83" s="1225">
        <v>1401799</v>
      </c>
      <c r="AB83" s="1108">
        <v>1164969</v>
      </c>
    </row>
    <row r="84" spans="1:28">
      <c r="A84" s="599" t="s">
        <v>56</v>
      </c>
      <c r="B84" s="581"/>
      <c r="C84" s="548">
        <v>215100</v>
      </c>
      <c r="D84" s="548">
        <v>147686</v>
      </c>
      <c r="E84" s="548">
        <v>141448</v>
      </c>
      <c r="F84" s="548">
        <v>150059</v>
      </c>
      <c r="G84" s="548">
        <v>125880</v>
      </c>
      <c r="H84" s="548">
        <v>121742</v>
      </c>
      <c r="I84" s="548">
        <v>119192</v>
      </c>
      <c r="J84" s="548">
        <v>122522</v>
      </c>
      <c r="K84" s="548">
        <v>124192</v>
      </c>
      <c r="L84" s="548">
        <v>122944</v>
      </c>
      <c r="M84" s="548">
        <v>141399</v>
      </c>
      <c r="N84" s="548">
        <v>164954</v>
      </c>
      <c r="O84" s="548">
        <v>176950</v>
      </c>
      <c r="P84" s="548">
        <v>193349</v>
      </c>
      <c r="Q84" s="548">
        <v>222693</v>
      </c>
      <c r="R84" s="548">
        <v>238323</v>
      </c>
      <c r="S84" s="548">
        <v>274791</v>
      </c>
      <c r="T84" s="548">
        <v>277079</v>
      </c>
      <c r="U84" s="548">
        <v>227142</v>
      </c>
      <c r="V84" s="548">
        <v>189358</v>
      </c>
      <c r="W84" s="548">
        <v>203087</v>
      </c>
      <c r="X84" s="548">
        <v>199577</v>
      </c>
      <c r="Y84" s="548">
        <v>194525</v>
      </c>
      <c r="Z84" s="548">
        <v>179910</v>
      </c>
      <c r="AA84" s="1226">
        <v>179383</v>
      </c>
      <c r="AB84" s="1166">
        <v>184372</v>
      </c>
    </row>
    <row r="85" spans="1:28">
      <c r="A85" s="599" t="s">
        <v>57</v>
      </c>
      <c r="B85" s="581"/>
      <c r="C85" s="548">
        <v>16516</v>
      </c>
      <c r="D85" s="548">
        <v>24579</v>
      </c>
      <c r="E85" s="548">
        <v>52890</v>
      </c>
      <c r="F85" s="548">
        <v>67051</v>
      </c>
      <c r="G85" s="548">
        <v>34956</v>
      </c>
      <c r="H85" s="548">
        <v>34675</v>
      </c>
      <c r="I85" s="548">
        <v>45046</v>
      </c>
      <c r="J85" s="548">
        <v>44178</v>
      </c>
      <c r="K85" s="548">
        <v>49068</v>
      </c>
      <c r="L85" s="548">
        <v>73512</v>
      </c>
      <c r="M85" s="548">
        <v>120790</v>
      </c>
      <c r="N85" s="548">
        <v>123705</v>
      </c>
      <c r="O85" s="548">
        <v>83523</v>
      </c>
      <c r="P85" s="548">
        <v>56732</v>
      </c>
      <c r="Q85" s="548">
        <v>68843</v>
      </c>
      <c r="R85" s="548">
        <v>94720</v>
      </c>
      <c r="S85" s="548">
        <v>113467</v>
      </c>
      <c r="T85" s="548">
        <v>127330</v>
      </c>
      <c r="U85" s="548">
        <v>129786</v>
      </c>
      <c r="V85" s="548">
        <v>101873</v>
      </c>
      <c r="W85" s="548">
        <v>108875</v>
      </c>
      <c r="X85" s="548">
        <v>120662</v>
      </c>
      <c r="Y85" s="548">
        <v>119012</v>
      </c>
      <c r="Z85" s="548">
        <v>125661</v>
      </c>
      <c r="AA85" s="1226">
        <v>134766</v>
      </c>
      <c r="AB85" s="1166">
        <v>145882</v>
      </c>
    </row>
    <row r="86" spans="1:28">
      <c r="A86" s="599" t="s">
        <v>58</v>
      </c>
      <c r="B86" s="581"/>
      <c r="C86" s="548">
        <v>2976</v>
      </c>
      <c r="D86" s="548">
        <v>3494</v>
      </c>
      <c r="E86" s="548">
        <v>4735</v>
      </c>
      <c r="F86" s="548">
        <v>7637</v>
      </c>
      <c r="G86" s="548">
        <v>13058</v>
      </c>
      <c r="H86" s="548">
        <v>16296</v>
      </c>
      <c r="I86" s="548">
        <v>21257</v>
      </c>
      <c r="J86" s="548">
        <v>49356</v>
      </c>
      <c r="K86" s="548">
        <v>49360</v>
      </c>
      <c r="L86" s="548">
        <v>53305</v>
      </c>
      <c r="M86" s="548">
        <v>57786</v>
      </c>
      <c r="N86" s="548">
        <v>67948</v>
      </c>
      <c r="O86" s="548">
        <v>93706</v>
      </c>
      <c r="P86" s="548">
        <v>128489</v>
      </c>
      <c r="Q86" s="548">
        <v>135110</v>
      </c>
      <c r="R86" s="548">
        <v>172113</v>
      </c>
      <c r="S86" s="548">
        <v>217105</v>
      </c>
      <c r="T86" s="548">
        <v>207688</v>
      </c>
      <c r="U86" s="548">
        <v>233228</v>
      </c>
      <c r="V86" s="548">
        <v>359316</v>
      </c>
      <c r="W86" s="548">
        <v>404208</v>
      </c>
      <c r="X86" s="548">
        <v>420144</v>
      </c>
      <c r="Y86" s="548">
        <v>432147</v>
      </c>
      <c r="Z86" s="548">
        <v>452804</v>
      </c>
      <c r="AA86" s="1226">
        <v>530127</v>
      </c>
      <c r="AB86" s="1166">
        <v>695946</v>
      </c>
    </row>
    <row r="87" spans="1:28">
      <c r="A87" s="599" t="s">
        <v>59</v>
      </c>
      <c r="B87" s="581"/>
      <c r="C87" s="548">
        <v>104587</v>
      </c>
      <c r="D87" s="548">
        <v>111984</v>
      </c>
      <c r="E87" s="548">
        <v>147520</v>
      </c>
      <c r="F87" s="548">
        <v>153487</v>
      </c>
      <c r="G87" s="548">
        <v>157496</v>
      </c>
      <c r="H87" s="548">
        <v>166038</v>
      </c>
      <c r="I87" s="548">
        <v>168928</v>
      </c>
      <c r="J87" s="548">
        <v>170443</v>
      </c>
      <c r="K87" s="548">
        <v>165607</v>
      </c>
      <c r="L87" s="548">
        <v>144767</v>
      </c>
      <c r="M87" s="548">
        <v>175439</v>
      </c>
      <c r="N87" s="548">
        <v>157282</v>
      </c>
      <c r="O87" s="548">
        <v>157772</v>
      </c>
      <c r="P87" s="548">
        <v>167349</v>
      </c>
      <c r="Q87" s="548">
        <v>219614</v>
      </c>
      <c r="R87" s="548">
        <v>224505</v>
      </c>
      <c r="S87" s="548">
        <v>253155</v>
      </c>
      <c r="T87" s="548">
        <v>277835</v>
      </c>
      <c r="U87" s="548">
        <v>300678</v>
      </c>
      <c r="V87" s="548">
        <v>298407</v>
      </c>
      <c r="W87" s="548">
        <v>303049</v>
      </c>
      <c r="X87" s="548">
        <v>318829</v>
      </c>
      <c r="Y87" s="548">
        <v>307759</v>
      </c>
      <c r="Z87" s="548">
        <v>354430</v>
      </c>
      <c r="AA87" s="1226">
        <v>351993</v>
      </c>
      <c r="AB87" s="1166">
        <v>327307</v>
      </c>
    </row>
    <row r="88" spans="1:28">
      <c r="A88" s="617" t="s">
        <v>51</v>
      </c>
      <c r="B88" s="614"/>
      <c r="C88" s="549">
        <v>105534</v>
      </c>
      <c r="D88" s="549">
        <v>126885</v>
      </c>
      <c r="E88" s="549">
        <v>149988</v>
      </c>
      <c r="F88" s="549">
        <v>161524</v>
      </c>
      <c r="G88" s="549">
        <v>138002</v>
      </c>
      <c r="H88" s="549">
        <v>139620</v>
      </c>
      <c r="I88" s="549">
        <v>140592</v>
      </c>
      <c r="J88" s="549">
        <v>141564.975438197</v>
      </c>
      <c r="K88" s="549">
        <v>140109.73394753499</v>
      </c>
      <c r="L88" s="549">
        <v>140291.56793636599</v>
      </c>
      <c r="M88" s="549">
        <v>102062.85</v>
      </c>
      <c r="N88" s="549">
        <v>105105</v>
      </c>
      <c r="O88" s="549">
        <v>135011</v>
      </c>
      <c r="P88" s="549">
        <v>129841</v>
      </c>
      <c r="Q88" s="549">
        <v>127465</v>
      </c>
      <c r="R88" s="549">
        <v>142681.60000000001</v>
      </c>
      <c r="S88" s="549">
        <v>163047</v>
      </c>
      <c r="T88" s="549">
        <v>173164</v>
      </c>
      <c r="U88" s="549">
        <v>183703</v>
      </c>
      <c r="V88" s="549">
        <v>189324</v>
      </c>
      <c r="W88" s="549">
        <v>205976</v>
      </c>
      <c r="X88" s="549">
        <v>212645</v>
      </c>
      <c r="Y88" s="549">
        <v>225305</v>
      </c>
      <c r="Z88" s="549">
        <v>220979</v>
      </c>
      <c r="AA88" s="1227">
        <v>240124</v>
      </c>
      <c r="AB88" s="1167">
        <v>247708</v>
      </c>
    </row>
    <row r="89" spans="1:28">
      <c r="A89" s="501" t="s">
        <v>52</v>
      </c>
      <c r="B89" s="510"/>
      <c r="C89" s="538">
        <v>790247</v>
      </c>
      <c r="D89" s="538">
        <v>772823</v>
      </c>
      <c r="E89" s="538">
        <v>841555</v>
      </c>
      <c r="F89" s="538">
        <v>866682</v>
      </c>
      <c r="G89" s="538">
        <v>735617</v>
      </c>
      <c r="H89" s="538">
        <v>760839</v>
      </c>
      <c r="I89" s="538">
        <v>891670.61956862663</v>
      </c>
      <c r="J89" s="538">
        <v>1070423.2012028999</v>
      </c>
      <c r="K89" s="538">
        <v>1113694.476215383</v>
      </c>
      <c r="L89" s="538">
        <v>1154795.684924332</v>
      </c>
      <c r="M89" s="538">
        <v>1305561.7486742432</v>
      </c>
      <c r="N89" s="538">
        <v>1373902.0182716581</v>
      </c>
      <c r="O89" s="538">
        <v>1515819.4</v>
      </c>
      <c r="P89" s="538">
        <v>1557238.2</v>
      </c>
      <c r="Q89" s="538">
        <v>1638915</v>
      </c>
      <c r="R89" s="538">
        <v>1799322.0000000002</v>
      </c>
      <c r="S89" s="538">
        <v>1980912</v>
      </c>
      <c r="T89" s="538">
        <v>2051519.5</v>
      </c>
      <c r="U89" s="538">
        <v>2003014</v>
      </c>
      <c r="V89" s="538">
        <v>2228328</v>
      </c>
      <c r="W89" s="538">
        <v>2727233</v>
      </c>
      <c r="X89" s="538">
        <v>2539073</v>
      </c>
      <c r="Y89" s="538">
        <v>2603228</v>
      </c>
      <c r="Z89" s="538">
        <v>2748564</v>
      </c>
      <c r="AA89" s="1167">
        <v>2838192</v>
      </c>
      <c r="AB89" s="1168">
        <f>SUM(AB83:AB88)</f>
        <v>2766184</v>
      </c>
    </row>
    <row r="90" spans="1:28">
      <c r="AA90" s="1086"/>
      <c r="AB90" s="1086"/>
    </row>
    <row r="91" spans="1:28">
      <c r="I91" s="605"/>
      <c r="J91" s="605"/>
      <c r="AA91" s="1086"/>
      <c r="AB91" s="1086"/>
    </row>
    <row r="92" spans="1:28">
      <c r="H92" s="605"/>
      <c r="I92" s="605"/>
      <c r="J92" s="605"/>
      <c r="AA92" s="1086"/>
      <c r="AB92" s="1086"/>
    </row>
    <row r="93" spans="1:28">
      <c r="H93" s="605"/>
      <c r="I93" s="605"/>
      <c r="J93" s="605"/>
    </row>
    <row r="94" spans="1:28">
      <c r="H94" s="605"/>
      <c r="I94" s="605"/>
      <c r="J94" s="605"/>
    </row>
    <row r="95" spans="1:28">
      <c r="H95" s="605"/>
      <c r="I95" s="605"/>
      <c r="J95" s="605"/>
    </row>
    <row r="96" spans="1:28">
      <c r="I96" s="605"/>
      <c r="J96" s="605"/>
    </row>
    <row r="97" spans="9:10">
      <c r="I97" s="605"/>
      <c r="J97" s="605"/>
    </row>
  </sheetData>
  <hyperlinks>
    <hyperlink ref="AB1" location="Content!A1" display="ToC" xr:uid="{5E99849F-4DA9-4ED2-BFEF-82640945F0EC}"/>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E5566-B75B-4155-ABFD-29B77E1A2D25}">
  <dimension ref="A1:AN493"/>
  <sheetViews>
    <sheetView zoomScale="80" zoomScaleNormal="80" workbookViewId="0">
      <selection activeCell="H24" sqref="H24"/>
    </sheetView>
  </sheetViews>
  <sheetFormatPr defaultRowHeight="15"/>
  <cols>
    <col min="1" max="1" width="18.140625" customWidth="1"/>
    <col min="2" max="2" width="14.140625" customWidth="1"/>
    <col min="3" max="10" width="10.7109375" customWidth="1"/>
    <col min="11" max="12" width="10.7109375" hidden="1" customWidth="1"/>
    <col min="13" max="13" width="12.140625" customWidth="1"/>
    <col min="16" max="16" width="18.140625" customWidth="1"/>
    <col min="17" max="17" width="14.140625" customWidth="1"/>
    <col min="18" max="25" width="10.7109375" customWidth="1"/>
    <col min="26" max="27" width="10.7109375" hidden="1" customWidth="1"/>
    <col min="28" max="28" width="12.140625" customWidth="1"/>
    <col min="30" max="30" width="18.140625" customWidth="1"/>
    <col min="31" max="31" width="14.140625" customWidth="1"/>
    <col min="32" max="39" width="10.7109375" customWidth="1"/>
    <col min="40" max="40" width="12.140625" customWidth="1"/>
  </cols>
  <sheetData>
    <row r="1" spans="1:40" ht="21">
      <c r="A1" s="496" t="s">
        <v>32</v>
      </c>
      <c r="N1" s="888" t="s">
        <v>458</v>
      </c>
    </row>
    <row r="2" spans="1:40" ht="18.75">
      <c r="A2" s="495" t="s">
        <v>294</v>
      </c>
    </row>
    <row r="3" spans="1:40" ht="18.75">
      <c r="A3" s="495" t="s">
        <v>323</v>
      </c>
    </row>
    <row r="4" spans="1:40">
      <c r="A4" s="623" t="s">
        <v>355</v>
      </c>
      <c r="B4" s="623" t="s">
        <v>418</v>
      </c>
    </row>
    <row r="5" spans="1:40">
      <c r="A5" s="622"/>
      <c r="B5" s="624"/>
    </row>
    <row r="6" spans="1:40" ht="15.75">
      <c r="A6" s="623" t="s">
        <v>353</v>
      </c>
      <c r="B6" s="624"/>
      <c r="P6" s="607" t="s">
        <v>354</v>
      </c>
    </row>
    <row r="7" spans="1:40">
      <c r="A7" s="623" t="s">
        <v>351</v>
      </c>
      <c r="B7" s="964"/>
      <c r="C7" s="965"/>
      <c r="D7" s="965"/>
      <c r="E7" s="965"/>
      <c r="F7" s="965"/>
      <c r="G7" s="965"/>
      <c r="H7" s="965"/>
      <c r="I7" s="965"/>
      <c r="J7" s="965"/>
      <c r="K7" s="965"/>
      <c r="L7" s="965"/>
      <c r="M7" s="965"/>
      <c r="N7" s="965"/>
      <c r="O7" s="965"/>
      <c r="P7" s="965"/>
      <c r="Q7" s="965"/>
      <c r="R7" s="965"/>
      <c r="S7" s="965"/>
      <c r="T7" s="965"/>
      <c r="U7" s="965"/>
      <c r="V7" s="965"/>
      <c r="W7" s="965"/>
      <c r="X7" s="965"/>
      <c r="Y7" s="965"/>
      <c r="Z7" s="965"/>
      <c r="AA7" s="965"/>
      <c r="AB7" s="965"/>
    </row>
    <row r="9" spans="1:40">
      <c r="P9" t="s">
        <v>478</v>
      </c>
    </row>
    <row r="10" spans="1:40">
      <c r="A10" s="862" t="s">
        <v>479</v>
      </c>
      <c r="C10" s="862">
        <v>2018</v>
      </c>
      <c r="P10" s="862" t="s">
        <v>479</v>
      </c>
      <c r="R10" s="862">
        <f>C10</f>
        <v>2018</v>
      </c>
      <c r="AD10" t="s">
        <v>480</v>
      </c>
      <c r="AF10">
        <f>R10</f>
        <v>2018</v>
      </c>
    </row>
    <row r="11" spans="1:40" ht="15.75" thickBot="1"/>
    <row r="12" spans="1:40" ht="15.75">
      <c r="A12" s="1327" t="s">
        <v>481</v>
      </c>
      <c r="B12" s="1330" t="s">
        <v>482</v>
      </c>
      <c r="C12" s="1333" t="s">
        <v>483</v>
      </c>
      <c r="D12" s="1333"/>
      <c r="E12" s="1333"/>
      <c r="F12" s="1333"/>
      <c r="G12" s="1333"/>
      <c r="H12" s="1333"/>
      <c r="I12" s="1333"/>
      <c r="J12" s="1333"/>
      <c r="K12" s="966"/>
      <c r="L12" s="967"/>
      <c r="M12" s="1341" t="s">
        <v>484</v>
      </c>
      <c r="P12" s="1327" t="s">
        <v>481</v>
      </c>
      <c r="Q12" s="1330" t="s">
        <v>482</v>
      </c>
      <c r="R12" s="1333" t="s">
        <v>483</v>
      </c>
      <c r="S12" s="1333"/>
      <c r="T12" s="1333"/>
      <c r="U12" s="1333"/>
      <c r="V12" s="1333"/>
      <c r="W12" s="1333"/>
      <c r="X12" s="1333"/>
      <c r="Y12" s="1333"/>
      <c r="Z12" s="966"/>
      <c r="AA12" s="967"/>
      <c r="AB12" s="1334" t="s">
        <v>484</v>
      </c>
      <c r="AD12" s="968" t="s">
        <v>325</v>
      </c>
      <c r="AE12" s="969" t="s">
        <v>326</v>
      </c>
      <c r="AF12" s="970" t="s">
        <v>485</v>
      </c>
      <c r="AG12" s="970"/>
      <c r="AH12" s="970"/>
      <c r="AI12" s="970"/>
      <c r="AJ12" s="970"/>
      <c r="AK12" s="971"/>
      <c r="AL12" s="971"/>
      <c r="AM12" s="971"/>
      <c r="AN12" s="1334" t="s">
        <v>484</v>
      </c>
    </row>
    <row r="13" spans="1:40">
      <c r="A13" s="1328"/>
      <c r="B13" s="1331"/>
      <c r="C13" s="1339" t="s">
        <v>486</v>
      </c>
      <c r="D13" s="1340"/>
      <c r="E13" s="1340"/>
      <c r="F13" s="1340"/>
      <c r="G13" s="1340"/>
      <c r="H13" s="1340"/>
      <c r="I13" s="1340"/>
      <c r="J13" s="1340"/>
      <c r="K13" s="972"/>
      <c r="L13" s="973"/>
      <c r="M13" s="1337"/>
      <c r="P13" s="1328"/>
      <c r="Q13" s="1331"/>
      <c r="R13" s="1339" t="s">
        <v>486</v>
      </c>
      <c r="S13" s="1340"/>
      <c r="T13" s="1340"/>
      <c r="U13" s="1340"/>
      <c r="V13" s="1340"/>
      <c r="W13" s="1340"/>
      <c r="X13" s="1340"/>
      <c r="Y13" s="1340"/>
      <c r="Z13" s="974"/>
      <c r="AA13" s="973"/>
      <c r="AB13" s="1335"/>
      <c r="AD13" s="975" t="s">
        <v>487</v>
      </c>
      <c r="AE13" s="976" t="s">
        <v>333</v>
      </c>
      <c r="AF13" s="977" t="s">
        <v>488</v>
      </c>
      <c r="AG13" s="977"/>
      <c r="AH13" s="977"/>
      <c r="AI13" s="977"/>
      <c r="AJ13" s="977"/>
      <c r="AK13" s="978"/>
      <c r="AL13" s="978"/>
      <c r="AM13" s="978"/>
      <c r="AN13" s="1335"/>
    </row>
    <row r="14" spans="1:40" ht="15" customHeight="1">
      <c r="A14" s="1328"/>
      <c r="B14" s="1331"/>
      <c r="C14" s="1323" t="s">
        <v>489</v>
      </c>
      <c r="D14" s="1325" t="s">
        <v>490</v>
      </c>
      <c r="E14" s="1314" t="s">
        <v>55</v>
      </c>
      <c r="F14" s="1314" t="s">
        <v>56</v>
      </c>
      <c r="G14" s="1314" t="s">
        <v>57</v>
      </c>
      <c r="H14" s="1314" t="s">
        <v>58</v>
      </c>
      <c r="I14" s="1314" t="s">
        <v>59</v>
      </c>
      <c r="J14" s="1316" t="s">
        <v>491</v>
      </c>
      <c r="K14" s="1318"/>
      <c r="L14" s="979"/>
      <c r="M14" s="1337"/>
      <c r="P14" s="1328"/>
      <c r="Q14" s="1331"/>
      <c r="R14" s="1323" t="s">
        <v>489</v>
      </c>
      <c r="S14" s="1325" t="s">
        <v>490</v>
      </c>
      <c r="T14" s="1314" t="s">
        <v>55</v>
      </c>
      <c r="U14" s="1314" t="s">
        <v>56</v>
      </c>
      <c r="V14" s="1314" t="s">
        <v>57</v>
      </c>
      <c r="W14" s="1314" t="s">
        <v>58</v>
      </c>
      <c r="X14" s="1314" t="s">
        <v>59</v>
      </c>
      <c r="Y14" s="1316" t="s">
        <v>491</v>
      </c>
      <c r="Z14" s="1318"/>
      <c r="AA14" s="979"/>
      <c r="AB14" s="1335"/>
      <c r="AD14" s="975" t="s">
        <v>337</v>
      </c>
      <c r="AE14" s="976" t="s">
        <v>53</v>
      </c>
      <c r="AF14" s="980" t="s">
        <v>338</v>
      </c>
      <c r="AG14" s="980" t="s">
        <v>492</v>
      </c>
      <c r="AH14" s="980"/>
      <c r="AI14" s="980"/>
      <c r="AJ14" s="980"/>
      <c r="AK14" s="981"/>
      <c r="AL14" s="982"/>
      <c r="AM14" s="1319" t="s">
        <v>491</v>
      </c>
      <c r="AN14" s="1337"/>
    </row>
    <row r="15" spans="1:40" ht="15.75" thickBot="1">
      <c r="A15" s="1329"/>
      <c r="B15" s="1332"/>
      <c r="C15" s="1324"/>
      <c r="D15" s="1326"/>
      <c r="E15" s="1315"/>
      <c r="F15" s="1315"/>
      <c r="G15" s="1315"/>
      <c r="H15" s="1315"/>
      <c r="I15" s="1315"/>
      <c r="J15" s="1317"/>
      <c r="K15" s="1317"/>
      <c r="L15" s="983"/>
      <c r="M15" s="1338"/>
      <c r="P15" s="1329"/>
      <c r="Q15" s="1332"/>
      <c r="R15" s="1324"/>
      <c r="S15" s="1326"/>
      <c r="T15" s="1315"/>
      <c r="U15" s="1315"/>
      <c r="V15" s="1315"/>
      <c r="W15" s="1315"/>
      <c r="X15" s="1315"/>
      <c r="Y15" s="1317"/>
      <c r="Z15" s="1317"/>
      <c r="AA15" s="983"/>
      <c r="AB15" s="1336"/>
      <c r="AD15" s="984"/>
      <c r="AE15" s="985"/>
      <c r="AF15" s="986" t="s">
        <v>342</v>
      </c>
      <c r="AG15" s="986" t="s">
        <v>342</v>
      </c>
      <c r="AH15" s="986" t="s">
        <v>127</v>
      </c>
      <c r="AI15" s="986" t="s">
        <v>56</v>
      </c>
      <c r="AJ15" s="986" t="s">
        <v>344</v>
      </c>
      <c r="AK15" s="987" t="s">
        <v>122</v>
      </c>
      <c r="AL15" s="988" t="s">
        <v>59</v>
      </c>
      <c r="AM15" s="1320"/>
      <c r="AN15" s="1338"/>
    </row>
    <row r="16" spans="1:40" ht="15.75">
      <c r="A16" s="989" t="s">
        <v>55</v>
      </c>
      <c r="B16" s="990">
        <v>130840.25</v>
      </c>
      <c r="C16" s="990">
        <v>54009</v>
      </c>
      <c r="D16" s="990">
        <v>52838</v>
      </c>
      <c r="E16" s="990"/>
      <c r="F16" s="990">
        <v>15703</v>
      </c>
      <c r="G16" s="990">
        <v>10070</v>
      </c>
      <c r="H16" s="990">
        <v>36197</v>
      </c>
      <c r="I16" s="990">
        <v>47197</v>
      </c>
      <c r="J16" s="990">
        <v>17109</v>
      </c>
      <c r="K16" s="991"/>
      <c r="L16" s="990"/>
      <c r="M16" s="992">
        <v>6867</v>
      </c>
      <c r="P16" s="989" t="s">
        <v>55</v>
      </c>
      <c r="Q16" s="990">
        <f>B16</f>
        <v>130840.25</v>
      </c>
      <c r="R16" s="990">
        <v>36966</v>
      </c>
      <c r="S16" s="990">
        <v>36464</v>
      </c>
      <c r="T16" s="990"/>
      <c r="U16" s="990">
        <v>13418</v>
      </c>
      <c r="V16" s="990">
        <v>8607</v>
      </c>
      <c r="W16" s="990">
        <v>25948</v>
      </c>
      <c r="X16" s="990">
        <v>32659</v>
      </c>
      <c r="Y16" s="990">
        <v>13151</v>
      </c>
      <c r="Z16" s="991"/>
      <c r="AA16" s="990"/>
      <c r="AB16" s="992">
        <v>5880</v>
      </c>
      <c r="AD16" s="993" t="s">
        <v>127</v>
      </c>
      <c r="AE16" s="994">
        <v>0.32276000695504631</v>
      </c>
      <c r="AF16" s="995">
        <f>R16/C16</f>
        <v>0.68444148197522636</v>
      </c>
      <c r="AG16" s="995">
        <f t="shared" ref="AG16:AH24" si="0">S16/D16</f>
        <v>0.69010939096862112</v>
      </c>
      <c r="AH16" s="996"/>
      <c r="AI16" s="995">
        <f t="shared" ref="AI16:AM24" si="1">U16/F16</f>
        <v>0.85448640387187158</v>
      </c>
      <c r="AJ16" s="995">
        <f t="shared" si="1"/>
        <v>0.8547169811320755</v>
      </c>
      <c r="AK16" s="995">
        <f t="shared" si="1"/>
        <v>0.71685498798242953</v>
      </c>
      <c r="AL16" s="997">
        <f t="shared" si="1"/>
        <v>0.69197194736953616</v>
      </c>
      <c r="AM16" s="998">
        <f t="shared" si="1"/>
        <v>0.76865976971184757</v>
      </c>
      <c r="AN16" s="999">
        <f t="shared" ref="AN16:AN24" si="2">AB16/M16</f>
        <v>0.85626911314984711</v>
      </c>
    </row>
    <row r="17" spans="1:40">
      <c r="A17" s="1000"/>
      <c r="B17" s="1001"/>
      <c r="C17" s="1002">
        <f t="shared" ref="C17:M17" si="3">C16/$B16</f>
        <v>0.41278582087698551</v>
      </c>
      <c r="D17" s="1002">
        <f t="shared" si="3"/>
        <v>0.40383597555033712</v>
      </c>
      <c r="E17" s="1003">
        <f t="shared" si="3"/>
        <v>0</v>
      </c>
      <c r="F17" s="1002">
        <f t="shared" si="3"/>
        <v>0.12001658511046868</v>
      </c>
      <c r="G17" s="1002">
        <f t="shared" si="3"/>
        <v>7.6964084064345642E-2</v>
      </c>
      <c r="H17" s="1002">
        <f t="shared" si="3"/>
        <v>0.27665034268888972</v>
      </c>
      <c r="I17" s="1002">
        <f t="shared" si="3"/>
        <v>0.36072233123981345</v>
      </c>
      <c r="J17" s="1002">
        <f t="shared" si="3"/>
        <v>0.13076251382888676</v>
      </c>
      <c r="K17" s="1004"/>
      <c r="L17" s="1002"/>
      <c r="M17" s="1005">
        <f t="shared" si="3"/>
        <v>5.2483849579926668E-2</v>
      </c>
      <c r="P17" s="1000"/>
      <c r="Q17" s="1001"/>
      <c r="R17" s="1002"/>
      <c r="S17" s="1002"/>
      <c r="T17" s="1003"/>
      <c r="U17" s="1002"/>
      <c r="V17" s="1002"/>
      <c r="W17" s="1002"/>
      <c r="X17" s="1002"/>
      <c r="Y17" s="1002"/>
      <c r="Z17" s="1004"/>
      <c r="AA17" s="1002"/>
      <c r="AB17" s="1006"/>
      <c r="AD17" s="1007"/>
      <c r="AE17" s="1008"/>
      <c r="AF17" s="1009"/>
      <c r="AG17" s="1010"/>
      <c r="AH17" s="1009"/>
      <c r="AI17" s="1009"/>
      <c r="AJ17" s="1009"/>
      <c r="AK17" s="1011"/>
      <c r="AL17" s="1012"/>
      <c r="AM17" s="1013"/>
      <c r="AN17" s="1008"/>
    </row>
    <row r="18" spans="1:40">
      <c r="A18" s="1014" t="s">
        <v>56</v>
      </c>
      <c r="B18" s="990">
        <v>228705</v>
      </c>
      <c r="C18" s="1015">
        <v>70492</v>
      </c>
      <c r="D18" s="1015">
        <v>68296</v>
      </c>
      <c r="E18" s="1015">
        <v>24858</v>
      </c>
      <c r="F18" s="1015"/>
      <c r="G18" s="1015">
        <v>13930</v>
      </c>
      <c r="H18" s="1015">
        <v>46446</v>
      </c>
      <c r="I18" s="1015">
        <v>56414</v>
      </c>
      <c r="J18" s="1015">
        <v>16021</v>
      </c>
      <c r="K18" s="1016"/>
      <c r="L18" s="1015"/>
      <c r="M18" s="1017">
        <v>5688</v>
      </c>
      <c r="P18" s="1014" t="s">
        <v>56</v>
      </c>
      <c r="Q18" s="990">
        <f>B18</f>
        <v>228705</v>
      </c>
      <c r="R18" s="1015">
        <v>34202</v>
      </c>
      <c r="S18" s="1015">
        <v>34069</v>
      </c>
      <c r="T18" s="1015">
        <v>15323</v>
      </c>
      <c r="U18" s="1015"/>
      <c r="V18" s="1015">
        <v>9513</v>
      </c>
      <c r="W18" s="1015">
        <v>25639</v>
      </c>
      <c r="X18" s="1015">
        <v>27746</v>
      </c>
      <c r="Y18" s="1015">
        <v>3861</v>
      </c>
      <c r="Z18" s="1016"/>
      <c r="AA18" s="1015"/>
      <c r="AB18" s="1017">
        <v>4554</v>
      </c>
      <c r="AD18" s="993" t="s">
        <v>56</v>
      </c>
      <c r="AE18" s="1018">
        <v>0.16818609125292408</v>
      </c>
      <c r="AF18" s="995">
        <f t="shared" ref="AF18:AF24" si="4">R18/C18</f>
        <v>0.48518980877262669</v>
      </c>
      <c r="AG18" s="995">
        <f t="shared" si="0"/>
        <v>0.49884327046972005</v>
      </c>
      <c r="AH18" s="995">
        <f t="shared" si="0"/>
        <v>0.61642127282967252</v>
      </c>
      <c r="AI18" s="1019"/>
      <c r="AJ18" s="995">
        <f t="shared" si="1"/>
        <v>0.68291457286432156</v>
      </c>
      <c r="AK18" s="995">
        <f t="shared" si="1"/>
        <v>0.55201739654652715</v>
      </c>
      <c r="AL18" s="997">
        <f t="shared" si="1"/>
        <v>0.49182826957847342</v>
      </c>
      <c r="AM18" s="1020">
        <f t="shared" si="1"/>
        <v>0.24099619249734724</v>
      </c>
      <c r="AN18" s="1021">
        <f t="shared" si="2"/>
        <v>0.80063291139240511</v>
      </c>
    </row>
    <row r="19" spans="1:40">
      <c r="A19" s="1000"/>
      <c r="B19" s="1001"/>
      <c r="C19" s="1002">
        <f t="shared" ref="C19:M19" si="5">C18/$B18</f>
        <v>0.30822238254520012</v>
      </c>
      <c r="D19" s="1002">
        <f t="shared" si="5"/>
        <v>0.29862049364902388</v>
      </c>
      <c r="E19" s="1002">
        <f t="shared" si="5"/>
        <v>0.10869023414442186</v>
      </c>
      <c r="F19" s="1003">
        <f t="shared" si="5"/>
        <v>0</v>
      </c>
      <c r="G19" s="1002">
        <f t="shared" si="5"/>
        <v>6.0908156795872415E-2</v>
      </c>
      <c r="H19" s="1002">
        <f t="shared" si="5"/>
        <v>0.20308257362104021</v>
      </c>
      <c r="I19" s="1002">
        <f t="shared" si="5"/>
        <v>0.24666710391115193</v>
      </c>
      <c r="J19" s="1002">
        <f t="shared" si="5"/>
        <v>7.0050938982532077E-2</v>
      </c>
      <c r="K19" s="1004"/>
      <c r="L19" s="1002"/>
      <c r="M19" s="1005">
        <f t="shared" si="5"/>
        <v>2.4870466321243522E-2</v>
      </c>
      <c r="P19" s="1000"/>
      <c r="Q19" s="1001"/>
      <c r="R19" s="1002"/>
      <c r="S19" s="1002"/>
      <c r="T19" s="1002"/>
      <c r="U19" s="1003"/>
      <c r="V19" s="1002"/>
      <c r="W19" s="1002"/>
      <c r="X19" s="1002"/>
      <c r="Y19" s="1002"/>
      <c r="Z19" s="1004"/>
      <c r="AA19" s="1002"/>
      <c r="AB19" s="1006"/>
      <c r="AD19" s="1007"/>
      <c r="AE19" s="1008"/>
      <c r="AF19" s="1009"/>
      <c r="AG19" s="1010"/>
      <c r="AH19" s="1009"/>
      <c r="AI19" s="1009"/>
      <c r="AJ19" s="1009"/>
      <c r="AK19" s="1011"/>
      <c r="AL19" s="1012"/>
      <c r="AM19" s="1013"/>
      <c r="AN19" s="1008"/>
    </row>
    <row r="20" spans="1:40">
      <c r="A20" s="989" t="s">
        <v>57</v>
      </c>
      <c r="B20" s="990">
        <v>161646</v>
      </c>
      <c r="C20" s="990">
        <v>26436</v>
      </c>
      <c r="D20" s="990">
        <v>26242</v>
      </c>
      <c r="E20" s="990">
        <v>9629</v>
      </c>
      <c r="F20" s="990">
        <v>5902</v>
      </c>
      <c r="G20" s="990"/>
      <c r="H20" s="990">
        <v>16895</v>
      </c>
      <c r="I20" s="990">
        <v>23694</v>
      </c>
      <c r="J20" s="990">
        <v>3085</v>
      </c>
      <c r="K20" s="991"/>
      <c r="L20" s="990"/>
      <c r="M20" s="992">
        <v>3480</v>
      </c>
      <c r="P20" s="989" t="s">
        <v>57</v>
      </c>
      <c r="Q20" s="990">
        <f>B20</f>
        <v>161646</v>
      </c>
      <c r="R20" s="990">
        <v>12131</v>
      </c>
      <c r="S20" s="990">
        <v>12057</v>
      </c>
      <c r="T20" s="990">
        <v>6067</v>
      </c>
      <c r="U20" s="990">
        <v>4275</v>
      </c>
      <c r="V20" s="990"/>
      <c r="W20" s="990">
        <v>7716</v>
      </c>
      <c r="X20" s="990">
        <v>9712</v>
      </c>
      <c r="Y20" s="990">
        <v>1120</v>
      </c>
      <c r="Z20" s="991"/>
      <c r="AA20" s="990"/>
      <c r="AB20" s="992">
        <v>2687</v>
      </c>
      <c r="AD20" s="993" t="s">
        <v>57</v>
      </c>
      <c r="AE20" s="1018">
        <v>7.5244670452717669E-2</v>
      </c>
      <c r="AF20" s="995">
        <f t="shared" si="4"/>
        <v>0.45888182781056136</v>
      </c>
      <c r="AG20" s="995">
        <f t="shared" si="0"/>
        <v>0.45945430988491731</v>
      </c>
      <c r="AH20" s="995">
        <f t="shared" si="0"/>
        <v>0.63007581264928858</v>
      </c>
      <c r="AI20" s="995">
        <f t="shared" si="1"/>
        <v>0.7243307353439512</v>
      </c>
      <c r="AJ20" s="1019"/>
      <c r="AK20" s="995">
        <f t="shared" si="1"/>
        <v>0.45670316661734239</v>
      </c>
      <c r="AL20" s="997">
        <f t="shared" si="1"/>
        <v>0.4098927998649447</v>
      </c>
      <c r="AM20" s="1020">
        <f t="shared" si="1"/>
        <v>0.36304700162074555</v>
      </c>
      <c r="AN20" s="1021">
        <f t="shared" si="2"/>
        <v>0.77212643678160919</v>
      </c>
    </row>
    <row r="21" spans="1:40">
      <c r="A21" s="1000"/>
      <c r="B21" s="1001"/>
      <c r="C21" s="1002">
        <f t="shared" ref="C21:M21" si="6">C20/$B20</f>
        <v>0.16354255595560668</v>
      </c>
      <c r="D21" s="1002">
        <f t="shared" si="6"/>
        <v>0.16234240253393217</v>
      </c>
      <c r="E21" s="1002">
        <f t="shared" si="6"/>
        <v>5.9568439676824667E-2</v>
      </c>
      <c r="F21" s="1002">
        <f t="shared" si="6"/>
        <v>3.6511883993417718E-2</v>
      </c>
      <c r="G21" s="1003">
        <f t="shared" si="6"/>
        <v>0</v>
      </c>
      <c r="H21" s="1002">
        <f t="shared" si="6"/>
        <v>0.10451851576902614</v>
      </c>
      <c r="I21" s="1002">
        <f t="shared" si="6"/>
        <v>0.14657956274822762</v>
      </c>
      <c r="J21" s="1002">
        <f t="shared" si="6"/>
        <v>1.9084913947762395E-2</v>
      </c>
      <c r="K21" s="1004"/>
      <c r="L21" s="1002"/>
      <c r="M21" s="1005">
        <f t="shared" si="6"/>
        <v>2.1528525296017224E-2</v>
      </c>
      <c r="P21" s="1000"/>
      <c r="Q21" s="1001"/>
      <c r="R21" s="1002"/>
      <c r="S21" s="1002"/>
      <c r="T21" s="1002"/>
      <c r="U21" s="1002"/>
      <c r="V21" s="1003"/>
      <c r="W21" s="1002"/>
      <c r="X21" s="1002"/>
      <c r="Y21" s="1002"/>
      <c r="Z21" s="1004"/>
      <c r="AA21" s="1002"/>
      <c r="AB21" s="1006"/>
      <c r="AD21" s="993"/>
      <c r="AE21" s="1008"/>
      <c r="AF21" s="1009"/>
      <c r="AG21" s="1010"/>
      <c r="AH21" s="1009"/>
      <c r="AI21" s="1009"/>
      <c r="AJ21" s="1009"/>
      <c r="AK21" s="1011"/>
      <c r="AL21" s="1012"/>
      <c r="AM21" s="1013"/>
      <c r="AN21" s="1008"/>
    </row>
    <row r="22" spans="1:40" ht="15.75">
      <c r="A22" s="1014" t="s">
        <v>58</v>
      </c>
      <c r="B22" s="990">
        <v>1393195</v>
      </c>
      <c r="C22" s="1015">
        <v>35468</v>
      </c>
      <c r="D22" s="1015">
        <v>33132</v>
      </c>
      <c r="E22" s="1015">
        <v>13766</v>
      </c>
      <c r="F22" s="1015">
        <v>7407</v>
      </c>
      <c r="G22" s="1015">
        <v>4009</v>
      </c>
      <c r="H22" s="1015"/>
      <c r="I22" s="1015">
        <v>29699</v>
      </c>
      <c r="J22" s="1015">
        <v>7497</v>
      </c>
      <c r="K22" s="1016"/>
      <c r="L22" s="1015"/>
      <c r="M22" s="1017">
        <v>2458</v>
      </c>
      <c r="P22" s="1014" t="s">
        <v>58</v>
      </c>
      <c r="Q22" s="990">
        <f>B22</f>
        <v>1393195</v>
      </c>
      <c r="R22" s="1015">
        <v>20543</v>
      </c>
      <c r="S22" s="1015">
        <v>20015</v>
      </c>
      <c r="T22" s="1015">
        <v>10748</v>
      </c>
      <c r="U22" s="1015">
        <v>5562</v>
      </c>
      <c r="V22" s="1015">
        <v>3544</v>
      </c>
      <c r="W22" s="1015"/>
      <c r="X22" s="1015">
        <v>17363</v>
      </c>
      <c r="Y22" s="1015">
        <v>3829</v>
      </c>
      <c r="Z22" s="1016"/>
      <c r="AA22" s="1015"/>
      <c r="AB22" s="1017">
        <v>2068</v>
      </c>
      <c r="AD22" s="1022" t="s">
        <v>58</v>
      </c>
      <c r="AE22" s="1018">
        <v>1.5186675232110366E-2</v>
      </c>
      <c r="AF22" s="995">
        <f t="shared" si="4"/>
        <v>0.57919815044547196</v>
      </c>
      <c r="AG22" s="995">
        <f t="shared" si="0"/>
        <v>0.60409875648919475</v>
      </c>
      <c r="AH22" s="995">
        <f t="shared" si="0"/>
        <v>0.78076420165625449</v>
      </c>
      <c r="AI22" s="995">
        <f t="shared" si="1"/>
        <v>0.75091130012150664</v>
      </c>
      <c r="AJ22" s="995">
        <f t="shared" si="1"/>
        <v>0.8840109753055625</v>
      </c>
      <c r="AK22" s="1023"/>
      <c r="AL22" s="997">
        <f t="shared" si="1"/>
        <v>0.58463247920805417</v>
      </c>
      <c r="AM22" s="1020">
        <f t="shared" si="1"/>
        <v>0.51073762838468717</v>
      </c>
      <c r="AN22" s="1021">
        <f t="shared" si="2"/>
        <v>0.84133441822620014</v>
      </c>
    </row>
    <row r="23" spans="1:40" ht="15.75">
      <c r="A23" s="1000"/>
      <c r="B23" s="1001"/>
      <c r="C23" s="1002">
        <f t="shared" ref="C23:M23" si="7">C22/$B22</f>
        <v>2.5458029924023556E-2</v>
      </c>
      <c r="D23" s="1002">
        <f t="shared" si="7"/>
        <v>2.3781308431339476E-2</v>
      </c>
      <c r="E23" s="1002">
        <f t="shared" si="7"/>
        <v>9.8808853032059402E-3</v>
      </c>
      <c r="F23" s="1002">
        <f t="shared" si="7"/>
        <v>5.316556548078338E-3</v>
      </c>
      <c r="G23" s="1002">
        <f t="shared" si="7"/>
        <v>2.8775584178812011E-3</v>
      </c>
      <c r="H23" s="1003">
        <f t="shared" si="7"/>
        <v>0</v>
      </c>
      <c r="I23" s="1002">
        <f t="shared" si="7"/>
        <v>2.131718818973654E-2</v>
      </c>
      <c r="J23" s="1002">
        <f t="shared" si="7"/>
        <v>5.3811562631218175E-3</v>
      </c>
      <c r="K23" s="1004"/>
      <c r="L23" s="1002"/>
      <c r="M23" s="1005">
        <f t="shared" si="7"/>
        <v>1.7642899952985762E-3</v>
      </c>
      <c r="P23" s="1000"/>
      <c r="Q23" s="1001"/>
      <c r="R23" s="1002"/>
      <c r="S23" s="1002"/>
      <c r="T23" s="1002"/>
      <c r="U23" s="1002"/>
      <c r="V23" s="1002"/>
      <c r="W23" s="1003"/>
      <c r="X23" s="1002"/>
      <c r="Y23" s="1002"/>
      <c r="Z23" s="1004"/>
      <c r="AA23" s="1002"/>
      <c r="AB23" s="1006"/>
      <c r="AD23" s="1022"/>
      <c r="AE23" s="1024"/>
      <c r="AF23" s="995"/>
      <c r="AG23" s="1025"/>
      <c r="AH23" s="1023"/>
      <c r="AI23" s="1023"/>
      <c r="AJ23" s="1023"/>
      <c r="AK23" s="1026"/>
      <c r="AL23" s="1027"/>
      <c r="AM23" s="1028"/>
      <c r="AN23" s="1029"/>
    </row>
    <row r="24" spans="1:40" ht="15.75">
      <c r="A24" s="989" t="s">
        <v>59</v>
      </c>
      <c r="B24" s="990">
        <v>250372</v>
      </c>
      <c r="C24" s="990">
        <v>92344</v>
      </c>
      <c r="D24" s="990">
        <v>84336</v>
      </c>
      <c r="E24" s="990">
        <v>68569</v>
      </c>
      <c r="F24" s="990">
        <v>29431</v>
      </c>
      <c r="G24" s="990">
        <v>20803</v>
      </c>
      <c r="H24" s="990">
        <v>59396</v>
      </c>
      <c r="I24" s="990"/>
      <c r="J24" s="990">
        <v>46957</v>
      </c>
      <c r="K24" s="991"/>
      <c r="L24" s="990"/>
      <c r="M24" s="992">
        <v>13202</v>
      </c>
      <c r="P24" s="989" t="s">
        <v>59</v>
      </c>
      <c r="Q24" s="990">
        <f>B24</f>
        <v>250372</v>
      </c>
      <c r="R24" s="990">
        <v>60489</v>
      </c>
      <c r="S24" s="990">
        <v>57797</v>
      </c>
      <c r="T24" s="990">
        <v>50665</v>
      </c>
      <c r="U24" s="990">
        <v>25409</v>
      </c>
      <c r="V24" s="990">
        <v>25409</v>
      </c>
      <c r="W24" s="990">
        <v>17232</v>
      </c>
      <c r="X24" s="990"/>
      <c r="Y24" s="990">
        <v>28876</v>
      </c>
      <c r="Z24" s="991"/>
      <c r="AA24" s="990"/>
      <c r="AB24" s="992">
        <v>11938</v>
      </c>
      <c r="AD24" s="1022" t="s">
        <v>59</v>
      </c>
      <c r="AE24" s="1018">
        <v>0.27119246561117055</v>
      </c>
      <c r="AF24" s="995">
        <f t="shared" si="4"/>
        <v>0.65503985099194317</v>
      </c>
      <c r="AG24" s="995">
        <f t="shared" si="0"/>
        <v>0.6853182508062986</v>
      </c>
      <c r="AH24" s="995">
        <f t="shared" si="0"/>
        <v>0.73889075238081348</v>
      </c>
      <c r="AI24" s="995">
        <f t="shared" si="1"/>
        <v>0.86334137474091943</v>
      </c>
      <c r="AJ24" s="995">
        <f t="shared" si="1"/>
        <v>1.2214103735038215</v>
      </c>
      <c r="AK24" s="995">
        <f t="shared" si="1"/>
        <v>0.2901205468381709</v>
      </c>
      <c r="AL24" s="1030"/>
      <c r="AM24" s="1020">
        <f t="shared" si="1"/>
        <v>0.61494558851715397</v>
      </c>
      <c r="AN24" s="1021">
        <f t="shared" si="2"/>
        <v>0.90425693076806546</v>
      </c>
    </row>
    <row r="25" spans="1:40" ht="15.75" thickBot="1">
      <c r="A25" s="1031"/>
      <c r="B25" s="1032"/>
      <c r="C25" s="1002">
        <f t="shared" ref="C25:M25" si="8">C24/$B24</f>
        <v>0.36882718514849905</v>
      </c>
      <c r="D25" s="1033">
        <f t="shared" si="8"/>
        <v>0.33684277794641571</v>
      </c>
      <c r="E25" s="1033">
        <f t="shared" si="8"/>
        <v>0.27386848369625999</v>
      </c>
      <c r="F25" s="1033">
        <f t="shared" si="8"/>
        <v>0.11754908695860559</v>
      </c>
      <c r="G25" s="1033">
        <f t="shared" si="8"/>
        <v>8.3088364513603755E-2</v>
      </c>
      <c r="H25" s="1033">
        <f t="shared" si="8"/>
        <v>0.23723100027159585</v>
      </c>
      <c r="I25" s="1034">
        <f t="shared" si="8"/>
        <v>0</v>
      </c>
      <c r="J25" s="1033">
        <f t="shared" si="8"/>
        <v>0.18754892719633187</v>
      </c>
      <c r="K25" s="1035"/>
      <c r="L25" s="1033"/>
      <c r="M25" s="1036">
        <f t="shared" si="8"/>
        <v>5.2729538446791173E-2</v>
      </c>
      <c r="P25" s="1031"/>
      <c r="Q25" s="1032"/>
      <c r="R25" s="1002"/>
      <c r="S25" s="1033"/>
      <c r="T25" s="1033"/>
      <c r="U25" s="1033"/>
      <c r="V25" s="1033"/>
      <c r="W25" s="1033"/>
      <c r="X25" s="1034"/>
      <c r="Y25" s="1033"/>
      <c r="Z25" s="1035"/>
      <c r="AA25" s="1033"/>
      <c r="AB25" s="1036"/>
      <c r="AD25" s="1037"/>
      <c r="AE25" s="1038"/>
      <c r="AF25" s="1039"/>
      <c r="AG25" s="1039"/>
      <c r="AH25" s="1040"/>
      <c r="AI25" s="1040"/>
      <c r="AJ25" s="1040"/>
      <c r="AK25" s="1041"/>
      <c r="AL25" s="1042"/>
      <c r="AM25" s="1043"/>
      <c r="AN25" s="1044"/>
    </row>
    <row r="26" spans="1:40">
      <c r="A26" s="1321" t="s">
        <v>493</v>
      </c>
      <c r="B26" s="1045">
        <f t="shared" ref="B26:M26" si="9">B16+B18+B20+B22+B24</f>
        <v>2164758.25</v>
      </c>
      <c r="C26" s="1046">
        <f t="shared" si="9"/>
        <v>278749</v>
      </c>
      <c r="D26" s="1046">
        <f t="shared" si="9"/>
        <v>264844</v>
      </c>
      <c r="E26" s="1046">
        <f t="shared" si="9"/>
        <v>116822</v>
      </c>
      <c r="F26" s="1046">
        <f t="shared" si="9"/>
        <v>58443</v>
      </c>
      <c r="G26" s="1046">
        <f t="shared" si="9"/>
        <v>48812</v>
      </c>
      <c r="H26" s="1046">
        <f t="shared" si="9"/>
        <v>158934</v>
      </c>
      <c r="I26" s="1046">
        <f t="shared" si="9"/>
        <v>157004</v>
      </c>
      <c r="J26" s="1046">
        <f t="shared" si="9"/>
        <v>90669</v>
      </c>
      <c r="K26" s="1047"/>
      <c r="L26" s="1046"/>
      <c r="M26" s="1048">
        <f t="shared" si="9"/>
        <v>31695</v>
      </c>
      <c r="P26" s="1321" t="s">
        <v>493</v>
      </c>
      <c r="Q26" s="1045">
        <f t="shared" ref="Q26:AB26" si="10">Q16+Q18+Q20+Q22+Q24</f>
        <v>2164758.25</v>
      </c>
      <c r="R26" s="1046">
        <f t="shared" si="10"/>
        <v>164331</v>
      </c>
      <c r="S26" s="1046">
        <f t="shared" si="10"/>
        <v>160402</v>
      </c>
      <c r="T26" s="1046">
        <f t="shared" si="10"/>
        <v>82803</v>
      </c>
      <c r="U26" s="1046">
        <f t="shared" si="10"/>
        <v>48664</v>
      </c>
      <c r="V26" s="1046">
        <f t="shared" si="10"/>
        <v>47073</v>
      </c>
      <c r="W26" s="1046">
        <f t="shared" si="10"/>
        <v>76535</v>
      </c>
      <c r="X26" s="1046">
        <f t="shared" si="10"/>
        <v>87480</v>
      </c>
      <c r="Y26" s="1046">
        <f t="shared" si="10"/>
        <v>50837</v>
      </c>
      <c r="Z26" s="1047"/>
      <c r="AA26" s="1046"/>
      <c r="AB26" s="1048">
        <f t="shared" si="10"/>
        <v>27127</v>
      </c>
    </row>
    <row r="27" spans="1:40">
      <c r="A27" s="1322"/>
      <c r="B27" s="1049"/>
      <c r="C27" s="1002">
        <f t="shared" ref="C27:M27" si="11">C26/$B26</f>
        <v>0.12876680340633878</v>
      </c>
      <c r="D27" s="1050">
        <f t="shared" si="11"/>
        <v>0.12234345336251751</v>
      </c>
      <c r="E27" s="1050">
        <f t="shared" si="11"/>
        <v>5.3965379275029902E-2</v>
      </c>
      <c r="F27" s="1050">
        <f t="shared" si="11"/>
        <v>2.699747188860465E-2</v>
      </c>
      <c r="G27" s="1050">
        <f t="shared" si="11"/>
        <v>2.2548476255951445E-2</v>
      </c>
      <c r="H27" s="1050">
        <f t="shared" si="11"/>
        <v>7.3418821709075363E-2</v>
      </c>
      <c r="I27" s="1050">
        <f t="shared" si="11"/>
        <v>7.2527267190227826E-2</v>
      </c>
      <c r="J27" s="1050">
        <f t="shared" si="11"/>
        <v>4.1884122626625858E-2</v>
      </c>
      <c r="K27" s="1051"/>
      <c r="L27" s="1050"/>
      <c r="M27" s="1052">
        <f t="shared" si="11"/>
        <v>1.4641357759001496E-2</v>
      </c>
      <c r="P27" s="1322"/>
      <c r="Q27" s="1049"/>
      <c r="R27" s="1033"/>
      <c r="S27" s="1050"/>
      <c r="T27" s="1050"/>
      <c r="U27" s="1050"/>
      <c r="V27" s="1050"/>
      <c r="W27" s="1050"/>
      <c r="X27" s="1050"/>
      <c r="Y27" s="1050"/>
      <c r="Z27" s="1051"/>
      <c r="AA27" s="1050"/>
      <c r="AB27" s="1052"/>
    </row>
    <row r="28" spans="1:40">
      <c r="A28" s="989" t="s">
        <v>51</v>
      </c>
      <c r="B28" s="990">
        <v>90428</v>
      </c>
      <c r="C28" s="990">
        <v>19960</v>
      </c>
      <c r="D28" s="990">
        <v>18984</v>
      </c>
      <c r="E28" s="990">
        <v>6858</v>
      </c>
      <c r="F28" s="990">
        <v>3395</v>
      </c>
      <c r="G28" s="990">
        <v>1885</v>
      </c>
      <c r="H28" s="990">
        <v>8372</v>
      </c>
      <c r="I28" s="990">
        <v>16219</v>
      </c>
      <c r="J28" s="1053"/>
      <c r="K28" s="1054"/>
      <c r="L28" s="1053"/>
      <c r="M28" s="992">
        <v>1193</v>
      </c>
      <c r="P28" s="989" t="s">
        <v>51</v>
      </c>
      <c r="Q28" s="990">
        <f>B28</f>
        <v>90428</v>
      </c>
      <c r="R28" s="1055">
        <v>7038</v>
      </c>
      <c r="S28" s="990">
        <v>6242</v>
      </c>
      <c r="T28" s="990">
        <v>4852</v>
      </c>
      <c r="U28" s="990">
        <v>2392</v>
      </c>
      <c r="V28" s="990">
        <v>1426</v>
      </c>
      <c r="W28" s="990">
        <v>3801</v>
      </c>
      <c r="X28" s="990">
        <v>5440</v>
      </c>
      <c r="Y28" s="1053"/>
      <c r="Z28" s="1054"/>
      <c r="AA28" s="1053"/>
      <c r="AB28" s="992">
        <v>1052</v>
      </c>
    </row>
    <row r="29" spans="1:40">
      <c r="A29" s="1000"/>
      <c r="B29" s="1001"/>
      <c r="C29" s="1002">
        <f t="shared" ref="C29:M29" si="12">C28/$B28</f>
        <v>0.22072809306851859</v>
      </c>
      <c r="D29" s="1002">
        <f t="shared" si="12"/>
        <v>0.20993497589242269</v>
      </c>
      <c r="E29" s="1002">
        <f t="shared" si="12"/>
        <v>7.5839341796788612E-2</v>
      </c>
      <c r="F29" s="1002">
        <f t="shared" si="12"/>
        <v>3.754368116070244E-2</v>
      </c>
      <c r="G29" s="1002">
        <f t="shared" si="12"/>
        <v>2.084531339850489E-2</v>
      </c>
      <c r="H29" s="1002">
        <f t="shared" si="12"/>
        <v>9.2581943645773435E-2</v>
      </c>
      <c r="I29" s="1002">
        <f t="shared" si="12"/>
        <v>0.17935816340071659</v>
      </c>
      <c r="J29" s="1003">
        <f t="shared" si="12"/>
        <v>0</v>
      </c>
      <c r="K29" s="1056"/>
      <c r="L29" s="1003"/>
      <c r="M29" s="1005">
        <f t="shared" si="12"/>
        <v>1.3192816384305747E-2</v>
      </c>
      <c r="P29" s="1000"/>
      <c r="Q29" s="1001"/>
      <c r="R29" s="1002"/>
      <c r="S29" s="1002"/>
      <c r="T29" s="1002"/>
      <c r="U29" s="1002"/>
      <c r="V29" s="1002"/>
      <c r="W29" s="1002"/>
      <c r="X29" s="1002"/>
      <c r="Y29" s="1003"/>
      <c r="Z29" s="1056"/>
      <c r="AA29" s="1003"/>
      <c r="AB29" s="1005"/>
    </row>
    <row r="30" spans="1:40">
      <c r="A30" s="989" t="s">
        <v>494</v>
      </c>
      <c r="B30" s="990">
        <f t="shared" ref="B30:M30" si="13">B26+B28</f>
        <v>2255186.25</v>
      </c>
      <c r="C30" s="990">
        <f t="shared" si="13"/>
        <v>298709</v>
      </c>
      <c r="D30" s="990">
        <f t="shared" si="13"/>
        <v>283828</v>
      </c>
      <c r="E30" s="990">
        <f t="shared" si="13"/>
        <v>123680</v>
      </c>
      <c r="F30" s="990">
        <f t="shared" si="13"/>
        <v>61838</v>
      </c>
      <c r="G30" s="990">
        <f t="shared" si="13"/>
        <v>50697</v>
      </c>
      <c r="H30" s="990">
        <f t="shared" si="13"/>
        <v>167306</v>
      </c>
      <c r="I30" s="990">
        <f t="shared" si="13"/>
        <v>173223</v>
      </c>
      <c r="J30" s="990">
        <f t="shared" si="13"/>
        <v>90669</v>
      </c>
      <c r="K30" s="991"/>
      <c r="L30" s="990"/>
      <c r="M30" s="992">
        <f t="shared" si="13"/>
        <v>32888</v>
      </c>
      <c r="P30" s="989" t="s">
        <v>350</v>
      </c>
      <c r="Q30" s="990">
        <f t="shared" ref="Q30:AB30" si="14">Q26+Q28</f>
        <v>2255186.25</v>
      </c>
      <c r="R30" s="990">
        <f t="shared" si="14"/>
        <v>171369</v>
      </c>
      <c r="S30" s="990">
        <f t="shared" si="14"/>
        <v>166644</v>
      </c>
      <c r="T30" s="990">
        <f t="shared" si="14"/>
        <v>87655</v>
      </c>
      <c r="U30" s="990">
        <f t="shared" si="14"/>
        <v>51056</v>
      </c>
      <c r="V30" s="990">
        <f t="shared" si="14"/>
        <v>48499</v>
      </c>
      <c r="W30" s="990">
        <f t="shared" si="14"/>
        <v>80336</v>
      </c>
      <c r="X30" s="990">
        <f t="shared" si="14"/>
        <v>92920</v>
      </c>
      <c r="Y30" s="990">
        <f t="shared" si="14"/>
        <v>50837</v>
      </c>
      <c r="Z30" s="991"/>
      <c r="AA30" s="990"/>
      <c r="AB30" s="992">
        <f t="shared" si="14"/>
        <v>28179</v>
      </c>
    </row>
    <row r="31" spans="1:40" ht="15.75" thickBot="1">
      <c r="A31" s="1057"/>
      <c r="B31" s="1058"/>
      <c r="C31" s="1059">
        <f t="shared" ref="C31:M31" si="15">C30/$B30</f>
        <v>0.13245424851273371</v>
      </c>
      <c r="D31" s="1059">
        <f t="shared" si="15"/>
        <v>0.12585568043437653</v>
      </c>
      <c r="E31" s="1059">
        <f t="shared" si="15"/>
        <v>5.484247697945125E-2</v>
      </c>
      <c r="F31" s="1059">
        <f t="shared" si="15"/>
        <v>2.7420351645013798E-2</v>
      </c>
      <c r="G31" s="1059">
        <f t="shared" si="15"/>
        <v>2.2480183177775229E-2</v>
      </c>
      <c r="H31" s="1059">
        <f t="shared" si="15"/>
        <v>7.4187220678558152E-2</v>
      </c>
      <c r="I31" s="1059">
        <f t="shared" si="15"/>
        <v>7.6810950758501653E-2</v>
      </c>
      <c r="J31" s="1059">
        <f t="shared" si="15"/>
        <v>4.0204661588372138E-2</v>
      </c>
      <c r="K31" s="1060"/>
      <c r="L31" s="1059"/>
      <c r="M31" s="1061">
        <f t="shared" si="15"/>
        <v>1.4583274441301688E-2</v>
      </c>
      <c r="P31" s="1057"/>
      <c r="Q31" s="1058"/>
      <c r="R31" s="1059"/>
      <c r="S31" s="1059"/>
      <c r="T31" s="1059"/>
      <c r="U31" s="1059"/>
      <c r="V31" s="1059"/>
      <c r="W31" s="1059"/>
      <c r="X31" s="1059"/>
      <c r="Y31" s="1059"/>
      <c r="Z31" s="1060"/>
      <c r="AA31" s="1059"/>
      <c r="AB31" s="1061"/>
    </row>
    <row r="33" spans="1:40">
      <c r="A33" t="s">
        <v>495</v>
      </c>
      <c r="B33" t="s">
        <v>496</v>
      </c>
      <c r="P33" t="s">
        <v>495</v>
      </c>
      <c r="Q33" t="s">
        <v>496</v>
      </c>
    </row>
    <row r="36" spans="1:40">
      <c r="A36" s="862" t="s">
        <v>479</v>
      </c>
      <c r="C36" s="862">
        <v>2017</v>
      </c>
      <c r="P36" s="862" t="s">
        <v>479</v>
      </c>
      <c r="R36" s="862">
        <f>C36</f>
        <v>2017</v>
      </c>
      <c r="AD36" t="s">
        <v>480</v>
      </c>
      <c r="AF36">
        <f>R36</f>
        <v>2017</v>
      </c>
    </row>
    <row r="37" spans="1:40" ht="15.75" thickBot="1"/>
    <row r="38" spans="1:40" ht="15.75">
      <c r="A38" s="1327" t="s">
        <v>481</v>
      </c>
      <c r="B38" s="1330" t="s">
        <v>482</v>
      </c>
      <c r="C38" s="1333" t="s">
        <v>483</v>
      </c>
      <c r="D38" s="1333"/>
      <c r="E38" s="1333"/>
      <c r="F38" s="1333"/>
      <c r="G38" s="1333"/>
      <c r="H38" s="1333"/>
      <c r="I38" s="1333"/>
      <c r="J38" s="1333"/>
      <c r="K38" s="966"/>
      <c r="L38" s="967"/>
      <c r="M38" s="1334" t="s">
        <v>484</v>
      </c>
      <c r="P38" s="1327" t="s">
        <v>481</v>
      </c>
      <c r="Q38" s="1330" t="s">
        <v>482</v>
      </c>
      <c r="R38" s="1333" t="s">
        <v>483</v>
      </c>
      <c r="S38" s="1333"/>
      <c r="T38" s="1333"/>
      <c r="U38" s="1333"/>
      <c r="V38" s="1333"/>
      <c r="W38" s="1333"/>
      <c r="X38" s="1333"/>
      <c r="Y38" s="1333"/>
      <c r="Z38" s="966"/>
      <c r="AA38" s="967"/>
      <c r="AB38" s="1334" t="s">
        <v>484</v>
      </c>
      <c r="AD38" s="968" t="s">
        <v>325</v>
      </c>
      <c r="AE38" s="969" t="s">
        <v>326</v>
      </c>
      <c r="AF38" s="970" t="s">
        <v>485</v>
      </c>
      <c r="AG38" s="970"/>
      <c r="AH38" s="970"/>
      <c r="AI38" s="970"/>
      <c r="AJ38" s="970"/>
      <c r="AK38" s="971"/>
      <c r="AL38" s="971"/>
      <c r="AM38" s="971"/>
      <c r="AN38" s="1334" t="s">
        <v>484</v>
      </c>
    </row>
    <row r="39" spans="1:40">
      <c r="A39" s="1328"/>
      <c r="B39" s="1331"/>
      <c r="C39" s="1339" t="s">
        <v>486</v>
      </c>
      <c r="D39" s="1340"/>
      <c r="E39" s="1340"/>
      <c r="F39" s="1340"/>
      <c r="G39" s="1340"/>
      <c r="H39" s="1340"/>
      <c r="I39" s="1340"/>
      <c r="J39" s="1340"/>
      <c r="K39" s="974"/>
      <c r="L39" s="973"/>
      <c r="M39" s="1335"/>
      <c r="P39" s="1328"/>
      <c r="Q39" s="1331"/>
      <c r="R39" s="1339" t="s">
        <v>486</v>
      </c>
      <c r="S39" s="1340"/>
      <c r="T39" s="1340"/>
      <c r="U39" s="1340"/>
      <c r="V39" s="1340"/>
      <c r="W39" s="1340"/>
      <c r="X39" s="1340"/>
      <c r="Y39" s="1340"/>
      <c r="Z39" s="974"/>
      <c r="AA39" s="973"/>
      <c r="AB39" s="1335"/>
      <c r="AD39" s="975" t="s">
        <v>487</v>
      </c>
      <c r="AE39" s="976" t="s">
        <v>333</v>
      </c>
      <c r="AF39" s="977" t="s">
        <v>488</v>
      </c>
      <c r="AG39" s="977"/>
      <c r="AH39" s="977"/>
      <c r="AI39" s="977"/>
      <c r="AJ39" s="977"/>
      <c r="AK39" s="978"/>
      <c r="AL39" s="978"/>
      <c r="AM39" s="978"/>
      <c r="AN39" s="1335"/>
    </row>
    <row r="40" spans="1:40">
      <c r="A40" s="1328"/>
      <c r="B40" s="1331"/>
      <c r="C40" s="1323" t="s">
        <v>489</v>
      </c>
      <c r="D40" s="1325" t="s">
        <v>490</v>
      </c>
      <c r="E40" s="1314" t="s">
        <v>55</v>
      </c>
      <c r="F40" s="1314" t="s">
        <v>56</v>
      </c>
      <c r="G40" s="1314" t="s">
        <v>57</v>
      </c>
      <c r="H40" s="1314" t="s">
        <v>58</v>
      </c>
      <c r="I40" s="1314" t="s">
        <v>59</v>
      </c>
      <c r="J40" s="1316" t="s">
        <v>491</v>
      </c>
      <c r="K40" s="1318"/>
      <c r="L40" s="979"/>
      <c r="M40" s="1335"/>
      <c r="P40" s="1328"/>
      <c r="Q40" s="1331"/>
      <c r="R40" s="1323" t="s">
        <v>489</v>
      </c>
      <c r="S40" s="1325" t="s">
        <v>490</v>
      </c>
      <c r="T40" s="1314" t="s">
        <v>55</v>
      </c>
      <c r="U40" s="1314" t="s">
        <v>56</v>
      </c>
      <c r="V40" s="1314" t="s">
        <v>57</v>
      </c>
      <c r="W40" s="1314" t="s">
        <v>58</v>
      </c>
      <c r="X40" s="1314" t="s">
        <v>59</v>
      </c>
      <c r="Y40" s="1316" t="s">
        <v>491</v>
      </c>
      <c r="Z40" s="1318"/>
      <c r="AA40" s="979"/>
      <c r="AB40" s="1335"/>
      <c r="AD40" s="975" t="s">
        <v>337</v>
      </c>
      <c r="AE40" s="976" t="s">
        <v>53</v>
      </c>
      <c r="AF40" s="980" t="s">
        <v>338</v>
      </c>
      <c r="AG40" s="980" t="s">
        <v>492</v>
      </c>
      <c r="AH40" s="980"/>
      <c r="AI40" s="980"/>
      <c r="AJ40" s="980"/>
      <c r="AK40" s="981"/>
      <c r="AL40" s="982"/>
      <c r="AM40" s="1319" t="s">
        <v>491</v>
      </c>
      <c r="AN40" s="1337"/>
    </row>
    <row r="41" spans="1:40" ht="15.75" thickBot="1">
      <c r="A41" s="1329"/>
      <c r="B41" s="1332"/>
      <c r="C41" s="1324"/>
      <c r="D41" s="1326"/>
      <c r="E41" s="1315"/>
      <c r="F41" s="1315"/>
      <c r="G41" s="1315"/>
      <c r="H41" s="1315"/>
      <c r="I41" s="1315"/>
      <c r="J41" s="1317"/>
      <c r="K41" s="1317"/>
      <c r="L41" s="983"/>
      <c r="M41" s="1336"/>
      <c r="P41" s="1329"/>
      <c r="Q41" s="1332"/>
      <c r="R41" s="1324"/>
      <c r="S41" s="1326"/>
      <c r="T41" s="1315"/>
      <c r="U41" s="1315"/>
      <c r="V41" s="1315"/>
      <c r="W41" s="1315"/>
      <c r="X41" s="1315"/>
      <c r="Y41" s="1317"/>
      <c r="Z41" s="1317"/>
      <c r="AA41" s="983"/>
      <c r="AB41" s="1336"/>
      <c r="AD41" s="984"/>
      <c r="AE41" s="985"/>
      <c r="AF41" s="986" t="s">
        <v>342</v>
      </c>
      <c r="AG41" s="986" t="s">
        <v>342</v>
      </c>
      <c r="AH41" s="986" t="s">
        <v>127</v>
      </c>
      <c r="AI41" s="986" t="s">
        <v>56</v>
      </c>
      <c r="AJ41" s="986" t="s">
        <v>344</v>
      </c>
      <c r="AK41" s="987" t="s">
        <v>122</v>
      </c>
      <c r="AL41" s="988" t="s">
        <v>59</v>
      </c>
      <c r="AM41" s="1320"/>
      <c r="AN41" s="1338"/>
    </row>
    <row r="42" spans="1:40" ht="15.75">
      <c r="A42" s="989" t="s">
        <v>55</v>
      </c>
      <c r="B42" s="990">
        <v>131482.25</v>
      </c>
      <c r="C42" s="990">
        <v>53256</v>
      </c>
      <c r="D42" s="990">
        <v>51863</v>
      </c>
      <c r="E42" s="990"/>
      <c r="F42" s="990">
        <v>16066</v>
      </c>
      <c r="G42" s="990">
        <v>10098</v>
      </c>
      <c r="H42" s="990">
        <v>35311</v>
      </c>
      <c r="I42" s="990">
        <v>46492</v>
      </c>
      <c r="J42" s="990">
        <v>18401</v>
      </c>
      <c r="K42" s="991"/>
      <c r="L42" s="990"/>
      <c r="M42" s="992">
        <v>6979</v>
      </c>
      <c r="P42" s="989" t="s">
        <v>55</v>
      </c>
      <c r="Q42" s="990">
        <f>B42</f>
        <v>131482.25</v>
      </c>
      <c r="R42" s="990">
        <v>36787</v>
      </c>
      <c r="S42" s="990">
        <v>36176</v>
      </c>
      <c r="T42" s="990"/>
      <c r="U42" s="990">
        <v>13667</v>
      </c>
      <c r="V42" s="990">
        <v>8672</v>
      </c>
      <c r="W42" s="990">
        <v>25830</v>
      </c>
      <c r="X42" s="990">
        <v>32449</v>
      </c>
      <c r="Y42" s="990">
        <v>14059</v>
      </c>
      <c r="Z42" s="991"/>
      <c r="AA42" s="990"/>
      <c r="AB42" s="992">
        <v>5955</v>
      </c>
      <c r="AD42" s="993" t="s">
        <v>127</v>
      </c>
      <c r="AE42" s="994">
        <v>0.31894038929209073</v>
      </c>
      <c r="AF42" s="995">
        <f>R42/C42</f>
        <v>0.69075784888087732</v>
      </c>
      <c r="AG42" s="995">
        <f t="shared" ref="AG42" si="16">S42/D42</f>
        <v>0.69753003104332567</v>
      </c>
      <c r="AH42" s="996"/>
      <c r="AI42" s="995">
        <f t="shared" ref="AI42:AM42" si="17">U42/F42</f>
        <v>0.85067845138802445</v>
      </c>
      <c r="AJ42" s="995">
        <f t="shared" si="17"/>
        <v>0.85878391760744699</v>
      </c>
      <c r="AK42" s="995">
        <f t="shared" si="17"/>
        <v>0.73150009911925462</v>
      </c>
      <c r="AL42" s="997">
        <f t="shared" si="17"/>
        <v>0.69794803407037775</v>
      </c>
      <c r="AM42" s="998">
        <f t="shared" si="17"/>
        <v>0.76403456333894892</v>
      </c>
      <c r="AN42" s="999">
        <f t="shared" ref="AN42" si="18">AB42/M42</f>
        <v>0.85327410803840087</v>
      </c>
    </row>
    <row r="43" spans="1:40">
      <c r="A43" s="1000"/>
      <c r="B43" s="1001"/>
      <c r="C43" s="1002">
        <f t="shared" ref="C43:M43" si="19">C42/$B42</f>
        <v>0.40504326629640125</v>
      </c>
      <c r="D43" s="1002">
        <f t="shared" si="19"/>
        <v>0.39444868033517833</v>
      </c>
      <c r="E43" s="1003">
        <f t="shared" si="19"/>
        <v>0</v>
      </c>
      <c r="F43" s="1002">
        <f t="shared" si="19"/>
        <v>0.12219139845872731</v>
      </c>
      <c r="G43" s="1002">
        <f t="shared" si="19"/>
        <v>7.680124123218153E-2</v>
      </c>
      <c r="H43" s="1002">
        <f t="shared" si="19"/>
        <v>0.26856096545351177</v>
      </c>
      <c r="I43" s="1002">
        <f t="shared" si="19"/>
        <v>0.35359905994915664</v>
      </c>
      <c r="J43" s="1002">
        <f t="shared" si="19"/>
        <v>0.13995044958540032</v>
      </c>
      <c r="K43" s="1004"/>
      <c r="L43" s="1002"/>
      <c r="M43" s="1006">
        <f t="shared" si="19"/>
        <v>5.3079408056981074E-2</v>
      </c>
      <c r="P43" s="1000"/>
      <c r="Q43" s="1001"/>
      <c r="R43" s="1002"/>
      <c r="S43" s="1002"/>
      <c r="T43" s="1003"/>
      <c r="U43" s="1002"/>
      <c r="V43" s="1002"/>
      <c r="W43" s="1002"/>
      <c r="X43" s="1002"/>
      <c r="Y43" s="1002"/>
      <c r="Z43" s="1004"/>
      <c r="AA43" s="1002"/>
      <c r="AB43" s="1006"/>
      <c r="AD43" s="1007"/>
      <c r="AE43" s="1008"/>
      <c r="AF43" s="1009"/>
      <c r="AG43" s="1010"/>
      <c r="AH43" s="1009"/>
      <c r="AI43" s="1009"/>
      <c r="AJ43" s="1009"/>
      <c r="AK43" s="1011"/>
      <c r="AL43" s="1012"/>
      <c r="AM43" s="1013"/>
      <c r="AN43" s="1008"/>
    </row>
    <row r="44" spans="1:40">
      <c r="A44" s="1014" t="s">
        <v>56</v>
      </c>
      <c r="B44" s="990">
        <v>236216</v>
      </c>
      <c r="C44" s="1015">
        <v>70081</v>
      </c>
      <c r="D44" s="1015">
        <v>68120</v>
      </c>
      <c r="E44" s="1015">
        <v>25931</v>
      </c>
      <c r="F44" s="1015"/>
      <c r="G44" s="1015">
        <v>14614</v>
      </c>
      <c r="H44" s="1015">
        <v>46196</v>
      </c>
      <c r="I44" s="1015">
        <v>57046</v>
      </c>
      <c r="J44" s="1015">
        <v>16425</v>
      </c>
      <c r="K44" s="1016"/>
      <c r="L44" s="1015"/>
      <c r="M44" s="1017">
        <v>6138</v>
      </c>
      <c r="P44" s="1014" t="s">
        <v>56</v>
      </c>
      <c r="Q44" s="990">
        <f>B44</f>
        <v>236216</v>
      </c>
      <c r="R44" s="1015">
        <v>33143</v>
      </c>
      <c r="S44" s="1015">
        <v>33012</v>
      </c>
      <c r="T44" s="1015">
        <v>15419</v>
      </c>
      <c r="U44" s="1015"/>
      <c r="V44" s="1015">
        <v>9629</v>
      </c>
      <c r="W44" s="1015">
        <v>25609</v>
      </c>
      <c r="X44" s="1015">
        <v>27255</v>
      </c>
      <c r="Y44" s="1015">
        <v>4321</v>
      </c>
      <c r="Z44" s="1016"/>
      <c r="AA44" s="1015"/>
      <c r="AB44" s="1017">
        <v>4801</v>
      </c>
      <c r="AD44" s="993" t="s">
        <v>56</v>
      </c>
      <c r="AE44" s="1018">
        <v>0.15646696244115554</v>
      </c>
      <c r="AF44" s="995">
        <f t="shared" ref="AF44:AH44" si="20">R44/C44</f>
        <v>0.47292418772563177</v>
      </c>
      <c r="AG44" s="995">
        <f t="shared" si="20"/>
        <v>0.48461538461538461</v>
      </c>
      <c r="AH44" s="995">
        <f t="shared" si="20"/>
        <v>0.59461648220276886</v>
      </c>
      <c r="AI44" s="1019"/>
      <c r="AJ44" s="995">
        <f t="shared" ref="AJ44:AM44" si="21">V44/G44</f>
        <v>0.65888873682769944</v>
      </c>
      <c r="AK44" s="995">
        <f t="shared" si="21"/>
        <v>0.55435535544202963</v>
      </c>
      <c r="AL44" s="997">
        <f t="shared" si="21"/>
        <v>0.4777723240893314</v>
      </c>
      <c r="AM44" s="1020">
        <f t="shared" si="21"/>
        <v>0.2630745814307458</v>
      </c>
      <c r="AN44" s="1021">
        <f t="shared" ref="AN44" si="22">AB44/M44</f>
        <v>0.78217660475724993</v>
      </c>
    </row>
    <row r="45" spans="1:40">
      <c r="A45" s="1000"/>
      <c r="B45" s="1001"/>
      <c r="C45" s="1002">
        <f t="shared" ref="C45:M45" si="23">C44/$B44</f>
        <v>0.29668185050970297</v>
      </c>
      <c r="D45" s="1002">
        <f t="shared" si="23"/>
        <v>0.28838012666373147</v>
      </c>
      <c r="E45" s="1002">
        <f t="shared" si="23"/>
        <v>0.10977664510448064</v>
      </c>
      <c r="F45" s="1003">
        <f t="shared" si="23"/>
        <v>0</v>
      </c>
      <c r="G45" s="1002">
        <f t="shared" si="23"/>
        <v>6.1867104683848678E-2</v>
      </c>
      <c r="H45" s="1002">
        <f t="shared" si="23"/>
        <v>0.19556676939750059</v>
      </c>
      <c r="I45" s="1002">
        <f t="shared" si="23"/>
        <v>0.2414993057201883</v>
      </c>
      <c r="J45" s="1002">
        <f t="shared" si="23"/>
        <v>6.9533816506925861E-2</v>
      </c>
      <c r="K45" s="1004"/>
      <c r="L45" s="1002"/>
      <c r="M45" s="1006">
        <f t="shared" si="23"/>
        <v>2.5984691976834763E-2</v>
      </c>
      <c r="P45" s="1000"/>
      <c r="Q45" s="1001"/>
      <c r="R45" s="1002"/>
      <c r="S45" s="1002"/>
      <c r="T45" s="1002"/>
      <c r="U45" s="1003"/>
      <c r="V45" s="1002"/>
      <c r="W45" s="1002"/>
      <c r="X45" s="1002"/>
      <c r="Y45" s="1002"/>
      <c r="Z45" s="1004"/>
      <c r="AA45" s="1002"/>
      <c r="AB45" s="1006"/>
      <c r="AD45" s="1007"/>
      <c r="AE45" s="1008"/>
      <c r="AF45" s="1009"/>
      <c r="AG45" s="1010"/>
      <c r="AH45" s="1009"/>
      <c r="AI45" s="1009"/>
      <c r="AJ45" s="1009"/>
      <c r="AK45" s="1011"/>
      <c r="AL45" s="1012"/>
      <c r="AM45" s="1013"/>
      <c r="AN45" s="1008"/>
    </row>
    <row r="46" spans="1:40">
      <c r="A46" s="989" t="s">
        <v>57</v>
      </c>
      <c r="B46" s="990">
        <v>158190</v>
      </c>
      <c r="C46" s="990">
        <v>23833</v>
      </c>
      <c r="D46" s="990">
        <v>23582</v>
      </c>
      <c r="E46" s="990">
        <v>8575</v>
      </c>
      <c r="F46" s="990">
        <v>5433</v>
      </c>
      <c r="G46" s="990"/>
      <c r="H46" s="990">
        <v>14555</v>
      </c>
      <c r="I46" s="990">
        <v>21144</v>
      </c>
      <c r="J46" s="990">
        <v>2987</v>
      </c>
      <c r="K46" s="991"/>
      <c r="L46" s="990"/>
      <c r="M46" s="992">
        <v>3155</v>
      </c>
      <c r="P46" s="989" t="s">
        <v>57</v>
      </c>
      <c r="Q46" s="990">
        <f>B46</f>
        <v>158190</v>
      </c>
      <c r="R46" s="990">
        <v>10379</v>
      </c>
      <c r="S46" s="990">
        <v>10318</v>
      </c>
      <c r="T46" s="990">
        <v>5306</v>
      </c>
      <c r="U46" s="990">
        <v>3870</v>
      </c>
      <c r="V46" s="990"/>
      <c r="W46" s="990">
        <v>6855</v>
      </c>
      <c r="X46" s="990">
        <v>8294</v>
      </c>
      <c r="Y46" s="990">
        <v>1047</v>
      </c>
      <c r="Z46" s="991"/>
      <c r="AA46" s="990"/>
      <c r="AB46" s="992">
        <v>2383</v>
      </c>
      <c r="AD46" s="993" t="s">
        <v>57</v>
      </c>
      <c r="AE46" s="1018">
        <v>6.5825905556609138E-2</v>
      </c>
      <c r="AF46" s="995">
        <f t="shared" ref="AF46:AI46" si="24">R46/C46</f>
        <v>0.43548860823228297</v>
      </c>
      <c r="AG46" s="995">
        <f t="shared" si="24"/>
        <v>0.4375371045712832</v>
      </c>
      <c r="AH46" s="995">
        <f t="shared" si="24"/>
        <v>0.61877551020408161</v>
      </c>
      <c r="AI46" s="995">
        <f t="shared" si="24"/>
        <v>0.71231363887355048</v>
      </c>
      <c r="AJ46" s="1019"/>
      <c r="AK46" s="995">
        <f t="shared" ref="AK46:AM46" si="25">W46/H46</f>
        <v>0.47097217451047751</v>
      </c>
      <c r="AL46" s="997">
        <f t="shared" si="25"/>
        <v>0.39226258040105938</v>
      </c>
      <c r="AM46" s="1020">
        <f t="shared" si="25"/>
        <v>0.35051891529963175</v>
      </c>
      <c r="AN46" s="1021">
        <f t="shared" ref="AN46" si="26">AB46/M46</f>
        <v>0.75530903328050714</v>
      </c>
    </row>
    <row r="47" spans="1:40">
      <c r="A47" s="1000"/>
      <c r="B47" s="1001"/>
      <c r="C47" s="1002">
        <f t="shared" ref="C47:M47" si="27">C46/$B46</f>
        <v>0.15066059801504519</v>
      </c>
      <c r="D47" s="1002">
        <f t="shared" si="27"/>
        <v>0.14907389847651559</v>
      </c>
      <c r="E47" s="1002">
        <f t="shared" si="27"/>
        <v>5.4206966306340476E-2</v>
      </c>
      <c r="F47" s="1002">
        <f t="shared" si="27"/>
        <v>3.434477527024464E-2</v>
      </c>
      <c r="G47" s="1003">
        <f t="shared" si="27"/>
        <v>0</v>
      </c>
      <c r="H47" s="1002">
        <f t="shared" si="27"/>
        <v>9.2009608698400663E-2</v>
      </c>
      <c r="I47" s="1002">
        <f t="shared" si="27"/>
        <v>0.13366205196282951</v>
      </c>
      <c r="J47" s="1002">
        <f t="shared" si="27"/>
        <v>1.8882356659713002E-2</v>
      </c>
      <c r="K47" s="1004"/>
      <c r="L47" s="1002"/>
      <c r="M47" s="1006">
        <f t="shared" si="27"/>
        <v>1.9944370693469878E-2</v>
      </c>
      <c r="P47" s="1000"/>
      <c r="Q47" s="1001"/>
      <c r="R47" s="1002"/>
      <c r="S47" s="1002"/>
      <c r="T47" s="1002"/>
      <c r="U47" s="1002"/>
      <c r="V47" s="1003"/>
      <c r="W47" s="1002"/>
      <c r="X47" s="1002"/>
      <c r="Y47" s="1002"/>
      <c r="Z47" s="1004"/>
      <c r="AA47" s="1002"/>
      <c r="AB47" s="1006"/>
      <c r="AD47" s="993"/>
      <c r="AE47" s="1008"/>
      <c r="AF47" s="1009"/>
      <c r="AG47" s="1010"/>
      <c r="AH47" s="1009"/>
      <c r="AI47" s="1009"/>
      <c r="AJ47" s="1009"/>
      <c r="AK47" s="1011"/>
      <c r="AL47" s="1012"/>
      <c r="AM47" s="1013"/>
      <c r="AN47" s="1008"/>
    </row>
    <row r="48" spans="1:40" ht="15.75">
      <c r="A48" s="1014" t="s">
        <v>58</v>
      </c>
      <c r="B48" s="990">
        <v>1245128</v>
      </c>
      <c r="C48" s="1015">
        <v>31658</v>
      </c>
      <c r="D48" s="1015">
        <v>29979</v>
      </c>
      <c r="E48" s="1015">
        <v>12763</v>
      </c>
      <c r="F48" s="1015">
        <v>6121</v>
      </c>
      <c r="G48" s="1015">
        <v>3593</v>
      </c>
      <c r="H48" s="1015"/>
      <c r="I48" s="1015">
        <v>27245</v>
      </c>
      <c r="J48" s="1015">
        <v>7181</v>
      </c>
      <c r="K48" s="1016"/>
      <c r="L48" s="1015"/>
      <c r="M48" s="1017">
        <v>2412</v>
      </c>
      <c r="P48" s="1014" t="s">
        <v>58</v>
      </c>
      <c r="Q48" s="990">
        <f>B48</f>
        <v>1245128</v>
      </c>
      <c r="R48" s="1015">
        <v>18482</v>
      </c>
      <c r="S48" s="1015">
        <v>18121</v>
      </c>
      <c r="T48" s="1015">
        <v>9750</v>
      </c>
      <c r="U48" s="1015">
        <v>4878</v>
      </c>
      <c r="V48" s="1015">
        <v>3121</v>
      </c>
      <c r="W48" s="1015"/>
      <c r="X48" s="1015">
        <v>16139</v>
      </c>
      <c r="Y48" s="1015">
        <v>3387</v>
      </c>
      <c r="Z48" s="1016"/>
      <c r="AA48" s="1015"/>
      <c r="AB48" s="1017">
        <v>2024</v>
      </c>
      <c r="AD48" s="1022" t="s">
        <v>58</v>
      </c>
      <c r="AE48" s="1018">
        <v>1.5378338612576377E-2</v>
      </c>
      <c r="AF48" s="995">
        <f t="shared" ref="AF48:AJ48" si="28">R48/C48</f>
        <v>0.5838018826205067</v>
      </c>
      <c r="AG48" s="995">
        <f t="shared" si="28"/>
        <v>0.60445645285032856</v>
      </c>
      <c r="AH48" s="995">
        <f t="shared" si="28"/>
        <v>0.76392697641620311</v>
      </c>
      <c r="AI48" s="995">
        <f t="shared" si="28"/>
        <v>0.7969286064368567</v>
      </c>
      <c r="AJ48" s="995">
        <f t="shared" si="28"/>
        <v>0.86863345393821323</v>
      </c>
      <c r="AK48" s="1023"/>
      <c r="AL48" s="997">
        <f t="shared" ref="AL48:AM48" si="29">X48/I48</f>
        <v>0.59236557166452564</v>
      </c>
      <c r="AM48" s="1020">
        <f t="shared" si="29"/>
        <v>0.47166132850577913</v>
      </c>
      <c r="AN48" s="1021">
        <f t="shared" ref="AN48" si="30">AB48/M48</f>
        <v>0.83913764510779432</v>
      </c>
    </row>
    <row r="49" spans="1:40" ht="15.75">
      <c r="A49" s="1000"/>
      <c r="B49" s="1001"/>
      <c r="C49" s="1002">
        <f t="shared" ref="C49:M49" si="31">C48/$B48</f>
        <v>2.542549842265213E-2</v>
      </c>
      <c r="D49" s="1002">
        <f t="shared" si="31"/>
        <v>2.4077042681555631E-2</v>
      </c>
      <c r="E49" s="1002">
        <f t="shared" si="31"/>
        <v>1.0250351771062895E-2</v>
      </c>
      <c r="F49" s="1002">
        <f t="shared" si="31"/>
        <v>4.9159604474399423E-3</v>
      </c>
      <c r="G49" s="1002">
        <f t="shared" si="31"/>
        <v>2.8856470981296701E-3</v>
      </c>
      <c r="H49" s="1003">
        <f t="shared" si="31"/>
        <v>0</v>
      </c>
      <c r="I49" s="1002">
        <f t="shared" si="31"/>
        <v>2.1881284494445551E-2</v>
      </c>
      <c r="J49" s="1002">
        <f t="shared" si="31"/>
        <v>5.7672785448564324E-3</v>
      </c>
      <c r="K49" s="1004"/>
      <c r="L49" s="1002"/>
      <c r="M49" s="1006">
        <f t="shared" si="31"/>
        <v>1.9371502367628067E-3</v>
      </c>
      <c r="P49" s="1000"/>
      <c r="Q49" s="1001"/>
      <c r="R49" s="1002"/>
      <c r="S49" s="1002"/>
      <c r="T49" s="1002"/>
      <c r="U49" s="1002"/>
      <c r="V49" s="1002"/>
      <c r="W49" s="1003"/>
      <c r="X49" s="1002"/>
      <c r="Y49" s="1002"/>
      <c r="Z49" s="1004"/>
      <c r="AA49" s="1002"/>
      <c r="AB49" s="1006"/>
      <c r="AD49" s="1022"/>
      <c r="AE49" s="1024"/>
      <c r="AF49" s="995"/>
      <c r="AG49" s="1025"/>
      <c r="AH49" s="1023"/>
      <c r="AI49" s="1023"/>
      <c r="AJ49" s="1023"/>
      <c r="AK49" s="1026"/>
      <c r="AL49" s="1027"/>
      <c r="AM49" s="1028"/>
      <c r="AN49" s="1029"/>
    </row>
    <row r="50" spans="1:40" ht="15.75">
      <c r="A50" s="989" t="s">
        <v>59</v>
      </c>
      <c r="B50" s="990">
        <v>260824</v>
      </c>
      <c r="C50" s="990">
        <v>89718</v>
      </c>
      <c r="D50" s="990">
        <v>81939</v>
      </c>
      <c r="E50" s="990">
        <v>68071</v>
      </c>
      <c r="F50" s="990">
        <v>29164</v>
      </c>
      <c r="G50" s="990">
        <v>20244</v>
      </c>
      <c r="H50" s="990">
        <v>58015</v>
      </c>
      <c r="I50" s="990"/>
      <c r="J50" s="990">
        <v>46601</v>
      </c>
      <c r="K50" s="991"/>
      <c r="L50" s="990"/>
      <c r="M50" s="992">
        <v>13086</v>
      </c>
      <c r="P50" s="989" t="s">
        <v>59</v>
      </c>
      <c r="Q50" s="990">
        <f>B50</f>
        <v>260824</v>
      </c>
      <c r="R50" s="990">
        <v>59165</v>
      </c>
      <c r="S50" s="990">
        <v>56559</v>
      </c>
      <c r="T50" s="990">
        <v>49855</v>
      </c>
      <c r="U50" s="990">
        <v>25054</v>
      </c>
      <c r="V50" s="990">
        <v>25054</v>
      </c>
      <c r="W50" s="990">
        <v>16672</v>
      </c>
      <c r="X50" s="990"/>
      <c r="Y50" s="990">
        <v>28945</v>
      </c>
      <c r="Z50" s="991"/>
      <c r="AA50" s="990"/>
      <c r="AB50" s="992">
        <v>11708</v>
      </c>
      <c r="AD50" s="1022" t="s">
        <v>59</v>
      </c>
      <c r="AE50" s="1018">
        <v>0.25544811827132474</v>
      </c>
      <c r="AF50" s="995">
        <f t="shared" ref="AF50:AK50" si="32">R50/C50</f>
        <v>0.6594551817918366</v>
      </c>
      <c r="AG50" s="995">
        <f t="shared" si="32"/>
        <v>0.69025738659246516</v>
      </c>
      <c r="AH50" s="995">
        <f t="shared" si="32"/>
        <v>0.73239705601504312</v>
      </c>
      <c r="AI50" s="995">
        <f t="shared" si="32"/>
        <v>0.85907282951584141</v>
      </c>
      <c r="AJ50" s="995">
        <f t="shared" si="32"/>
        <v>1.237601264572219</v>
      </c>
      <c r="AK50" s="995">
        <f t="shared" si="32"/>
        <v>0.28737395501163493</v>
      </c>
      <c r="AL50" s="1030"/>
      <c r="AM50" s="1020">
        <f t="shared" ref="AM50" si="33">Y50/J50</f>
        <v>0.62112401021437313</v>
      </c>
      <c r="AN50" s="1021">
        <f t="shared" ref="AN50" si="34">AB50/M50</f>
        <v>0.89469662234449032</v>
      </c>
    </row>
    <row r="51" spans="1:40" ht="15.75" thickBot="1">
      <c r="A51" s="1031"/>
      <c r="B51" s="1032"/>
      <c r="C51" s="1002">
        <f t="shared" ref="C51:M51" si="35">C50/$B50</f>
        <v>0.34397908167960006</v>
      </c>
      <c r="D51" s="1033">
        <f t="shared" si="35"/>
        <v>0.31415437229702786</v>
      </c>
      <c r="E51" s="1033">
        <f t="shared" si="35"/>
        <v>0.26098441861178417</v>
      </c>
      <c r="F51" s="1033">
        <f t="shared" si="35"/>
        <v>0.11181486366285311</v>
      </c>
      <c r="G51" s="1033">
        <f t="shared" si="35"/>
        <v>7.7615556850596568E-2</v>
      </c>
      <c r="H51" s="1033">
        <f t="shared" si="35"/>
        <v>0.22242968438487257</v>
      </c>
      <c r="I51" s="1034">
        <f t="shared" si="35"/>
        <v>0</v>
      </c>
      <c r="J51" s="1033">
        <f t="shared" si="35"/>
        <v>0.17866837407600528</v>
      </c>
      <c r="K51" s="1035"/>
      <c r="L51" s="1033"/>
      <c r="M51" s="1036">
        <f t="shared" si="35"/>
        <v>5.0171763334662452E-2</v>
      </c>
      <c r="P51" s="1031"/>
      <c r="Q51" s="1032"/>
      <c r="R51" s="1002"/>
      <c r="S51" s="1033"/>
      <c r="T51" s="1033"/>
      <c r="U51" s="1033"/>
      <c r="V51" s="1033"/>
      <c r="W51" s="1033"/>
      <c r="X51" s="1034"/>
      <c r="Y51" s="1033"/>
      <c r="Z51" s="1035"/>
      <c r="AA51" s="1033"/>
      <c r="AB51" s="1036"/>
      <c r="AD51" s="1037"/>
      <c r="AE51" s="1038"/>
      <c r="AF51" s="1039"/>
      <c r="AG51" s="1039"/>
      <c r="AH51" s="1040"/>
      <c r="AI51" s="1040"/>
      <c r="AJ51" s="1040"/>
      <c r="AK51" s="1041"/>
      <c r="AL51" s="1042"/>
      <c r="AM51" s="1043"/>
      <c r="AN51" s="1044"/>
    </row>
    <row r="52" spans="1:40">
      <c r="A52" s="1321" t="s">
        <v>493</v>
      </c>
      <c r="B52" s="1045">
        <f t="shared" ref="B52:M52" si="36">B42+B44+B46+B48+B50</f>
        <v>2031840.25</v>
      </c>
      <c r="C52" s="1046">
        <f t="shared" si="36"/>
        <v>268546</v>
      </c>
      <c r="D52" s="1046">
        <f t="shared" si="36"/>
        <v>255483</v>
      </c>
      <c r="E52" s="1046">
        <f t="shared" si="36"/>
        <v>115340</v>
      </c>
      <c r="F52" s="1046">
        <f t="shared" si="36"/>
        <v>56784</v>
      </c>
      <c r="G52" s="1046">
        <f t="shared" si="36"/>
        <v>48549</v>
      </c>
      <c r="H52" s="1046">
        <f t="shared" si="36"/>
        <v>154077</v>
      </c>
      <c r="I52" s="1046">
        <f t="shared" si="36"/>
        <v>151927</v>
      </c>
      <c r="J52" s="1046">
        <f t="shared" si="36"/>
        <v>91595</v>
      </c>
      <c r="K52" s="1047"/>
      <c r="L52" s="1046"/>
      <c r="M52" s="1048">
        <f t="shared" si="36"/>
        <v>31770</v>
      </c>
      <c r="P52" s="1321" t="s">
        <v>493</v>
      </c>
      <c r="Q52" s="1045">
        <f t="shared" ref="Q52:AB52" si="37">Q42+Q44+Q46+Q48+Q50</f>
        <v>2031840.25</v>
      </c>
      <c r="R52" s="1046">
        <f t="shared" si="37"/>
        <v>157956</v>
      </c>
      <c r="S52" s="1046">
        <f t="shared" si="37"/>
        <v>154186</v>
      </c>
      <c r="T52" s="1046">
        <f t="shared" si="37"/>
        <v>80330</v>
      </c>
      <c r="U52" s="1046">
        <f t="shared" si="37"/>
        <v>47469</v>
      </c>
      <c r="V52" s="1046">
        <f t="shared" si="37"/>
        <v>46476</v>
      </c>
      <c r="W52" s="1046">
        <f t="shared" si="37"/>
        <v>74966</v>
      </c>
      <c r="X52" s="1046">
        <f t="shared" si="37"/>
        <v>84137</v>
      </c>
      <c r="Y52" s="1046">
        <f t="shared" si="37"/>
        <v>51759</v>
      </c>
      <c r="Z52" s="1047"/>
      <c r="AA52" s="1046"/>
      <c r="AB52" s="1048">
        <f t="shared" si="37"/>
        <v>26871</v>
      </c>
    </row>
    <row r="53" spans="1:40">
      <c r="A53" s="1322"/>
      <c r="B53" s="1049"/>
      <c r="C53" s="1002">
        <f t="shared" ref="C53:M53" si="38">C52/$B52</f>
        <v>0.13216885530247766</v>
      </c>
      <c r="D53" s="1050">
        <f t="shared" si="38"/>
        <v>0.12573970812912089</v>
      </c>
      <c r="E53" s="1050">
        <f t="shared" si="38"/>
        <v>5.6766273824922997E-2</v>
      </c>
      <c r="F53" s="1050">
        <f t="shared" si="38"/>
        <v>2.7947079008795107E-2</v>
      </c>
      <c r="G53" s="1050">
        <f t="shared" si="38"/>
        <v>2.3894102895146409E-2</v>
      </c>
      <c r="H53" s="1050">
        <f t="shared" si="38"/>
        <v>7.5831256911068678E-2</v>
      </c>
      <c r="I53" s="1050">
        <f t="shared" si="38"/>
        <v>7.4773102855896278E-2</v>
      </c>
      <c r="J53" s="1050">
        <f t="shared" si="38"/>
        <v>4.5079823573728299E-2</v>
      </c>
      <c r="K53" s="1051"/>
      <c r="L53" s="1050"/>
      <c r="M53" s="1052">
        <f t="shared" si="38"/>
        <v>1.563607178271028E-2</v>
      </c>
      <c r="P53" s="1322"/>
      <c r="Q53" s="1049"/>
      <c r="R53" s="1033"/>
      <c r="S53" s="1050"/>
      <c r="T53" s="1050"/>
      <c r="U53" s="1050"/>
      <c r="V53" s="1050"/>
      <c r="W53" s="1050"/>
      <c r="X53" s="1050"/>
      <c r="Y53" s="1050"/>
      <c r="Z53" s="1051"/>
      <c r="AA53" s="1050"/>
      <c r="AB53" s="1052"/>
    </row>
    <row r="54" spans="1:40">
      <c r="A54" s="989" t="s">
        <v>51</v>
      </c>
      <c r="B54" s="990">
        <v>89036</v>
      </c>
      <c r="C54" s="990">
        <v>18406</v>
      </c>
      <c r="D54" s="990">
        <v>17365</v>
      </c>
      <c r="E54" s="990">
        <v>7015</v>
      </c>
      <c r="F54" s="990">
        <v>3212</v>
      </c>
      <c r="G54" s="990">
        <v>1768</v>
      </c>
      <c r="H54" s="990">
        <v>7779</v>
      </c>
      <c r="I54" s="990">
        <v>14896</v>
      </c>
      <c r="J54" s="1053"/>
      <c r="K54" s="1054"/>
      <c r="L54" s="1053"/>
      <c r="M54" s="992">
        <v>1156</v>
      </c>
      <c r="P54" s="989" t="s">
        <v>51</v>
      </c>
      <c r="Q54" s="990">
        <f>B54</f>
        <v>89036</v>
      </c>
      <c r="R54" s="1055">
        <v>6534</v>
      </c>
      <c r="S54" s="990">
        <v>5695</v>
      </c>
      <c r="T54" s="990">
        <v>4552</v>
      </c>
      <c r="U54" s="990">
        <v>2227</v>
      </c>
      <c r="V54" s="990">
        <v>1374</v>
      </c>
      <c r="W54" s="990">
        <v>3639</v>
      </c>
      <c r="X54" s="990">
        <v>5209</v>
      </c>
      <c r="Y54" s="1053">
        <v>0</v>
      </c>
      <c r="Z54" s="1054"/>
      <c r="AA54" s="1053"/>
      <c r="AB54" s="992">
        <v>1026</v>
      </c>
    </row>
    <row r="55" spans="1:40">
      <c r="A55" s="1000"/>
      <c r="B55" s="1001"/>
      <c r="C55" s="1002">
        <f t="shared" ref="C55:M55" si="39">C54/$B54</f>
        <v>0.20672536951345524</v>
      </c>
      <c r="D55" s="1002">
        <f t="shared" si="39"/>
        <v>0.1950334696077991</v>
      </c>
      <c r="E55" s="1002">
        <f t="shared" si="39"/>
        <v>7.8788355272024796E-2</v>
      </c>
      <c r="F55" s="1002">
        <f t="shared" si="39"/>
        <v>3.6075295386135943E-2</v>
      </c>
      <c r="G55" s="1002">
        <f t="shared" si="39"/>
        <v>1.9857136439193134E-2</v>
      </c>
      <c r="H55" s="1002">
        <f t="shared" si="39"/>
        <v>8.7369154050047165E-2</v>
      </c>
      <c r="I55" s="1002">
        <f t="shared" si="39"/>
        <v>0.16730311334741005</v>
      </c>
      <c r="J55" s="1003">
        <f t="shared" si="39"/>
        <v>0</v>
      </c>
      <c r="K55" s="1056"/>
      <c r="L55" s="1003"/>
      <c r="M55" s="1005">
        <f t="shared" si="39"/>
        <v>1.2983512287164743E-2</v>
      </c>
      <c r="P55" s="1000"/>
      <c r="Q55" s="1001"/>
      <c r="R55" s="1002"/>
      <c r="S55" s="1002"/>
      <c r="T55" s="1002"/>
      <c r="U55" s="1002"/>
      <c r="V55" s="1002"/>
      <c r="W55" s="1002"/>
      <c r="X55" s="1002"/>
      <c r="Y55" s="1003"/>
      <c r="Z55" s="1056"/>
      <c r="AA55" s="1003"/>
      <c r="AB55" s="1005"/>
    </row>
    <row r="56" spans="1:40">
      <c r="A56" s="989" t="s">
        <v>494</v>
      </c>
      <c r="B56" s="990">
        <f t="shared" ref="B56:M56" si="40">B52+B54</f>
        <v>2120876.25</v>
      </c>
      <c r="C56" s="990">
        <f t="shared" si="40"/>
        <v>286952</v>
      </c>
      <c r="D56" s="990">
        <f t="shared" si="40"/>
        <v>272848</v>
      </c>
      <c r="E56" s="990">
        <f t="shared" si="40"/>
        <v>122355</v>
      </c>
      <c r="F56" s="990">
        <f t="shared" si="40"/>
        <v>59996</v>
      </c>
      <c r="G56" s="990">
        <f t="shared" si="40"/>
        <v>50317</v>
      </c>
      <c r="H56" s="990">
        <v>161856</v>
      </c>
      <c r="I56" s="990">
        <f t="shared" si="40"/>
        <v>166823</v>
      </c>
      <c r="J56" s="990">
        <f t="shared" si="40"/>
        <v>91595</v>
      </c>
      <c r="K56" s="991"/>
      <c r="L56" s="990"/>
      <c r="M56" s="992">
        <f t="shared" si="40"/>
        <v>32926</v>
      </c>
      <c r="P56" s="989" t="s">
        <v>350</v>
      </c>
      <c r="Q56" s="990">
        <f t="shared" ref="Q56:AB56" si="41">Q52+Q54</f>
        <v>2120876.25</v>
      </c>
      <c r="R56" s="990">
        <f t="shared" si="41"/>
        <v>164490</v>
      </c>
      <c r="S56" s="990">
        <f t="shared" si="41"/>
        <v>159881</v>
      </c>
      <c r="T56" s="990">
        <f t="shared" si="41"/>
        <v>84882</v>
      </c>
      <c r="U56" s="990">
        <f t="shared" si="41"/>
        <v>49696</v>
      </c>
      <c r="V56" s="990">
        <f t="shared" si="41"/>
        <v>47850</v>
      </c>
      <c r="W56" s="990">
        <f t="shared" si="41"/>
        <v>78605</v>
      </c>
      <c r="X56" s="990">
        <f t="shared" si="41"/>
        <v>89346</v>
      </c>
      <c r="Y56" s="990">
        <f t="shared" si="41"/>
        <v>51759</v>
      </c>
      <c r="Z56" s="991"/>
      <c r="AA56" s="990"/>
      <c r="AB56" s="992">
        <f t="shared" si="41"/>
        <v>27897</v>
      </c>
    </row>
    <row r="57" spans="1:40" ht="15.75" thickBot="1">
      <c r="A57" s="1057"/>
      <c r="B57" s="1058"/>
      <c r="C57" s="1059">
        <f t="shared" ref="C57:M57" si="42">C56/$B56</f>
        <v>0.13529879454305738</v>
      </c>
      <c r="D57" s="1059">
        <f t="shared" si="42"/>
        <v>0.12864871300246772</v>
      </c>
      <c r="E57" s="1059">
        <f t="shared" si="42"/>
        <v>5.769077757365617E-2</v>
      </c>
      <c r="F57" s="1059">
        <f t="shared" si="42"/>
        <v>2.8288307721867318E-2</v>
      </c>
      <c r="G57" s="1059">
        <f t="shared" si="42"/>
        <v>2.3724627969217912E-2</v>
      </c>
      <c r="H57" s="1059">
        <f t="shared" si="42"/>
        <v>7.6315626618950541E-2</v>
      </c>
      <c r="I57" s="1059">
        <f t="shared" si="42"/>
        <v>7.8657583156961655E-2</v>
      </c>
      <c r="J57" s="1059">
        <f t="shared" si="42"/>
        <v>4.318733825229077E-2</v>
      </c>
      <c r="K57" s="1060"/>
      <c r="L57" s="1059"/>
      <c r="M57" s="1061">
        <f t="shared" si="42"/>
        <v>1.5524715315191067E-2</v>
      </c>
      <c r="P57" s="1057"/>
      <c r="Q57" s="1058"/>
      <c r="R57" s="1059"/>
      <c r="S57" s="1059"/>
      <c r="T57" s="1059"/>
      <c r="U57" s="1059"/>
      <c r="V57" s="1059"/>
      <c r="W57" s="1059"/>
      <c r="X57" s="1059"/>
      <c r="Y57" s="1059"/>
      <c r="Z57" s="1060"/>
      <c r="AA57" s="1059"/>
      <c r="AB57" s="1061"/>
    </row>
    <row r="59" spans="1:40">
      <c r="A59" t="s">
        <v>495</v>
      </c>
      <c r="B59" t="s">
        <v>496</v>
      </c>
      <c r="P59" t="s">
        <v>495</v>
      </c>
      <c r="Q59" t="s">
        <v>496</v>
      </c>
    </row>
    <row r="62" spans="1:40">
      <c r="A62" s="625" t="s">
        <v>324</v>
      </c>
      <c r="B62" s="626"/>
      <c r="C62" s="625">
        <v>2017</v>
      </c>
      <c r="D62" s="1062"/>
      <c r="E62" s="623"/>
      <c r="F62" s="623"/>
      <c r="G62" s="623"/>
      <c r="H62" s="965"/>
      <c r="I62" s="965"/>
      <c r="J62" s="965"/>
      <c r="K62" s="965"/>
      <c r="L62" s="965"/>
      <c r="M62" s="965"/>
      <c r="N62" s="627"/>
      <c r="O62" s="627"/>
      <c r="P62" s="625" t="s">
        <v>324</v>
      </c>
      <c r="Q62" s="625"/>
      <c r="R62" s="625">
        <f>C62</f>
        <v>2017</v>
      </c>
      <c r="S62" s="623"/>
      <c r="T62" s="627"/>
      <c r="U62" s="627"/>
      <c r="V62" s="627"/>
      <c r="W62" s="628"/>
      <c r="X62" s="628"/>
      <c r="Y62" s="628"/>
      <c r="Z62" s="628"/>
      <c r="AA62" s="628"/>
      <c r="AB62" s="628"/>
    </row>
    <row r="63" spans="1:40" ht="15.75" thickBot="1">
      <c r="A63" s="627"/>
      <c r="B63" s="964"/>
      <c r="C63" s="627"/>
      <c r="D63" s="627"/>
      <c r="E63" s="627"/>
      <c r="F63" s="627"/>
      <c r="G63" s="627"/>
      <c r="H63" s="627"/>
      <c r="I63" s="627"/>
      <c r="J63" s="627"/>
      <c r="K63" s="627"/>
      <c r="L63" s="627"/>
      <c r="M63" s="627"/>
      <c r="N63" s="627"/>
      <c r="O63" s="627"/>
      <c r="P63" s="627"/>
      <c r="Q63" s="627"/>
      <c r="R63" s="627"/>
      <c r="S63" s="627"/>
      <c r="T63" s="627"/>
      <c r="U63" s="627"/>
      <c r="V63" s="627"/>
      <c r="W63" s="628"/>
      <c r="X63" s="628"/>
      <c r="Y63" s="628"/>
      <c r="Z63" s="628"/>
      <c r="AA63" s="628"/>
      <c r="AB63" s="628"/>
    </row>
    <row r="64" spans="1:40">
      <c r="A64" s="629" t="s">
        <v>325</v>
      </c>
      <c r="B64" s="630" t="s">
        <v>326</v>
      </c>
      <c r="C64" s="631"/>
      <c r="D64" s="631"/>
      <c r="E64" s="631" t="s">
        <v>327</v>
      </c>
      <c r="F64" s="631"/>
      <c r="G64" s="631"/>
      <c r="H64" s="631"/>
      <c r="I64" s="631"/>
      <c r="J64" s="631"/>
      <c r="K64" s="629" t="s">
        <v>328</v>
      </c>
      <c r="L64" s="629" t="s">
        <v>329</v>
      </c>
      <c r="M64" s="629" t="s">
        <v>330</v>
      </c>
      <c r="N64" s="627"/>
      <c r="O64" s="627"/>
      <c r="P64" s="629" t="s">
        <v>325</v>
      </c>
      <c r="Q64" s="632" t="s">
        <v>326</v>
      </c>
      <c r="R64" s="631"/>
      <c r="S64" s="631"/>
      <c r="T64" s="631" t="s">
        <v>331</v>
      </c>
      <c r="U64" s="631"/>
      <c r="V64" s="631"/>
      <c r="W64" s="631"/>
      <c r="X64" s="631"/>
      <c r="Y64" s="631"/>
      <c r="Z64" s="629" t="s">
        <v>328</v>
      </c>
      <c r="AA64" s="629" t="s">
        <v>329</v>
      </c>
      <c r="AB64" s="629" t="s">
        <v>330</v>
      </c>
    </row>
    <row r="65" spans="1:28">
      <c r="A65" s="633" t="s">
        <v>332</v>
      </c>
      <c r="B65" s="1063" t="s">
        <v>333</v>
      </c>
      <c r="C65" s="634"/>
      <c r="D65" s="634"/>
      <c r="E65" s="634" t="s">
        <v>334</v>
      </c>
      <c r="F65" s="634"/>
      <c r="G65" s="634"/>
      <c r="H65" s="634"/>
      <c r="I65" s="634"/>
      <c r="J65" s="634"/>
      <c r="K65" s="635" t="s">
        <v>335</v>
      </c>
      <c r="L65" s="635" t="s">
        <v>335</v>
      </c>
      <c r="M65" s="635" t="s">
        <v>335</v>
      </c>
      <c r="N65" s="627"/>
      <c r="O65" s="627"/>
      <c r="P65" s="633" t="s">
        <v>332</v>
      </c>
      <c r="Q65" s="636" t="s">
        <v>333</v>
      </c>
      <c r="R65" s="634"/>
      <c r="S65" s="634"/>
      <c r="T65" s="634" t="s">
        <v>336</v>
      </c>
      <c r="U65" s="634"/>
      <c r="V65" s="634"/>
      <c r="W65" s="634"/>
      <c r="X65" s="634"/>
      <c r="Y65" s="634"/>
      <c r="Z65" s="635" t="s">
        <v>335</v>
      </c>
      <c r="AA65" s="635" t="s">
        <v>335</v>
      </c>
      <c r="AB65" s="635" t="s">
        <v>335</v>
      </c>
    </row>
    <row r="66" spans="1:28">
      <c r="A66" s="633" t="s">
        <v>337</v>
      </c>
      <c r="B66" s="1063" t="s">
        <v>53</v>
      </c>
      <c r="C66" s="637" t="s">
        <v>338</v>
      </c>
      <c r="D66" s="637" t="s">
        <v>339</v>
      </c>
      <c r="E66" s="637"/>
      <c r="F66" s="637"/>
      <c r="G66" s="637"/>
      <c r="H66" s="637"/>
      <c r="I66" s="637"/>
      <c r="J66" s="638" t="s">
        <v>164</v>
      </c>
      <c r="K66" s="633" t="s">
        <v>340</v>
      </c>
      <c r="L66" s="633" t="s">
        <v>341</v>
      </c>
      <c r="M66" s="633" t="s">
        <v>341</v>
      </c>
      <c r="N66" s="627"/>
      <c r="O66" s="627"/>
      <c r="P66" s="633" t="s">
        <v>337</v>
      </c>
      <c r="Q66" s="636" t="s">
        <v>53</v>
      </c>
      <c r="R66" s="637" t="s">
        <v>338</v>
      </c>
      <c r="S66" s="637" t="s">
        <v>357</v>
      </c>
      <c r="T66" s="637"/>
      <c r="U66" s="637"/>
      <c r="V66" s="637"/>
      <c r="W66" s="637"/>
      <c r="X66" s="637"/>
      <c r="Y66" s="638" t="s">
        <v>164</v>
      </c>
      <c r="Z66" s="633" t="s">
        <v>340</v>
      </c>
      <c r="AA66" s="633" t="s">
        <v>341</v>
      </c>
      <c r="AB66" s="633" t="s">
        <v>341</v>
      </c>
    </row>
    <row r="67" spans="1:28">
      <c r="A67" s="639"/>
      <c r="B67" s="1064"/>
      <c r="C67" s="640" t="s">
        <v>342</v>
      </c>
      <c r="D67" s="640" t="s">
        <v>343</v>
      </c>
      <c r="E67" s="640" t="s">
        <v>127</v>
      </c>
      <c r="F67" s="640" t="s">
        <v>56</v>
      </c>
      <c r="G67" s="640" t="s">
        <v>344</v>
      </c>
      <c r="H67" s="640" t="s">
        <v>345</v>
      </c>
      <c r="I67" s="640" t="s">
        <v>122</v>
      </c>
      <c r="J67" s="634" t="s">
        <v>346</v>
      </c>
      <c r="K67" s="641" t="s">
        <v>361</v>
      </c>
      <c r="L67" s="641" t="s">
        <v>362</v>
      </c>
      <c r="M67" s="641" t="s">
        <v>363</v>
      </c>
      <c r="N67" s="627"/>
      <c r="O67" s="627"/>
      <c r="P67" s="639"/>
      <c r="Q67" s="642"/>
      <c r="R67" s="640" t="s">
        <v>342</v>
      </c>
      <c r="S67" s="640" t="s">
        <v>358</v>
      </c>
      <c r="T67" s="640" t="s">
        <v>127</v>
      </c>
      <c r="U67" s="640" t="s">
        <v>56</v>
      </c>
      <c r="V67" s="640" t="s">
        <v>344</v>
      </c>
      <c r="W67" s="640" t="s">
        <v>360</v>
      </c>
      <c r="X67" s="640" t="s">
        <v>359</v>
      </c>
      <c r="Y67" s="634" t="s">
        <v>346</v>
      </c>
      <c r="Z67" s="641" t="s">
        <v>361</v>
      </c>
      <c r="AA67" s="641" t="s">
        <v>362</v>
      </c>
      <c r="AB67" s="641" t="s">
        <v>363</v>
      </c>
    </row>
    <row r="68" spans="1:28">
      <c r="A68" s="643" t="s">
        <v>127</v>
      </c>
      <c r="B68" s="1065">
        <v>130216.25</v>
      </c>
      <c r="C68" s="644">
        <v>52961</v>
      </c>
      <c r="D68" s="644">
        <v>51628</v>
      </c>
      <c r="E68" s="645"/>
      <c r="F68" s="644">
        <v>16074</v>
      </c>
      <c r="G68" s="644">
        <v>10126</v>
      </c>
      <c r="H68" s="644">
        <v>45254</v>
      </c>
      <c r="I68" s="644">
        <v>35374</v>
      </c>
      <c r="J68" s="646">
        <v>13653</v>
      </c>
      <c r="K68" s="647"/>
      <c r="L68" s="647"/>
      <c r="M68" s="647">
        <v>6758</v>
      </c>
      <c r="N68" s="627"/>
      <c r="O68" s="627"/>
      <c r="P68" s="643" t="s">
        <v>127</v>
      </c>
      <c r="Q68" s="648">
        <v>0.31932069833250853</v>
      </c>
      <c r="R68" s="649">
        <v>0.68971507335586568</v>
      </c>
      <c r="S68" s="649">
        <v>0.69563027814364298</v>
      </c>
      <c r="T68" s="645"/>
      <c r="U68" s="649">
        <v>0.84963294761727015</v>
      </c>
      <c r="V68" s="649">
        <v>0.8562117321746</v>
      </c>
      <c r="W68" s="649">
        <v>0.68849162504971939</v>
      </c>
      <c r="X68" s="649">
        <v>0.73011251201447391</v>
      </c>
      <c r="Y68" s="650">
        <v>0.7444517688420127</v>
      </c>
      <c r="Z68" s="651"/>
      <c r="AA68" s="651"/>
      <c r="AB68" s="651">
        <v>0.84181710565255996</v>
      </c>
    </row>
    <row r="69" spans="1:28">
      <c r="A69" s="652"/>
      <c r="B69" s="1066"/>
      <c r="C69" s="653">
        <v>0.40671575168229773</v>
      </c>
      <c r="D69" s="653">
        <v>0.39647893408080787</v>
      </c>
      <c r="E69" s="653"/>
      <c r="F69" s="653">
        <v>0.12344081479846025</v>
      </c>
      <c r="G69" s="653">
        <v>7.7762952012517636E-2</v>
      </c>
      <c r="H69" s="653">
        <v>0.34752959020091578</v>
      </c>
      <c r="I69" s="653">
        <v>0.27165580332715772</v>
      </c>
      <c r="J69" s="654">
        <v>0.10484866520115577</v>
      </c>
      <c r="K69" s="654"/>
      <c r="L69" s="654"/>
      <c r="M69" s="654">
        <v>5.1898284584297273E-2</v>
      </c>
      <c r="N69" s="627"/>
      <c r="O69" s="627"/>
      <c r="P69" s="652"/>
      <c r="Q69" s="655"/>
      <c r="R69" s="653"/>
      <c r="S69" s="653"/>
      <c r="T69" s="653"/>
      <c r="U69" s="653"/>
      <c r="V69" s="653"/>
      <c r="W69" s="653"/>
      <c r="X69" s="653"/>
      <c r="Y69" s="656"/>
      <c r="Z69" s="657"/>
      <c r="AA69" s="657"/>
      <c r="AB69" s="657"/>
    </row>
    <row r="70" spans="1:28">
      <c r="A70" s="643" t="s">
        <v>56</v>
      </c>
      <c r="B70" s="1067">
        <v>236216</v>
      </c>
      <c r="C70" s="644">
        <v>69531</v>
      </c>
      <c r="D70" s="644">
        <v>67586</v>
      </c>
      <c r="E70" s="644">
        <v>25925</v>
      </c>
      <c r="F70" s="658"/>
      <c r="G70" s="644">
        <v>14613</v>
      </c>
      <c r="H70" s="644">
        <v>54500</v>
      </c>
      <c r="I70" s="644">
        <v>46197</v>
      </c>
      <c r="J70" s="646">
        <v>13932</v>
      </c>
      <c r="K70" s="647"/>
      <c r="L70" s="647"/>
      <c r="M70" s="647">
        <v>5931</v>
      </c>
      <c r="N70" s="627"/>
      <c r="O70" s="627"/>
      <c r="P70" s="643" t="s">
        <v>56</v>
      </c>
      <c r="Q70" s="651">
        <v>0.15495986724015309</v>
      </c>
      <c r="R70" s="649">
        <v>0.46858235894780748</v>
      </c>
      <c r="S70" s="649">
        <v>0.48045453200366939</v>
      </c>
      <c r="T70" s="649">
        <v>0.59452266152362587</v>
      </c>
      <c r="U70" s="645"/>
      <c r="V70" s="649">
        <v>0.65893382604530215</v>
      </c>
      <c r="W70" s="649">
        <v>0.45216513761467891</v>
      </c>
      <c r="X70" s="649">
        <v>0.55434335562915338</v>
      </c>
      <c r="Y70" s="650">
        <v>0.21217341372380133</v>
      </c>
      <c r="Z70" s="651"/>
      <c r="AA70" s="651"/>
      <c r="AB70" s="651">
        <v>0.7720451863092227</v>
      </c>
    </row>
    <row r="71" spans="1:28">
      <c r="A71" s="652"/>
      <c r="B71" s="1066"/>
      <c r="C71" s="653">
        <v>0.29435347309242388</v>
      </c>
      <c r="D71" s="653">
        <v>0.2861194838622278</v>
      </c>
      <c r="E71" s="653">
        <v>0.10975124462356488</v>
      </c>
      <c r="F71" s="653"/>
      <c r="G71" s="653">
        <v>6.1862871270362718E-2</v>
      </c>
      <c r="H71" s="653">
        <v>0.23072103498492905</v>
      </c>
      <c r="I71" s="653">
        <v>0.19557100281098655</v>
      </c>
      <c r="J71" s="654">
        <v>5.89799166864226E-2</v>
      </c>
      <c r="K71" s="654"/>
      <c r="L71" s="654"/>
      <c r="M71" s="654">
        <v>2.5108375385240626E-2</v>
      </c>
      <c r="N71" s="627"/>
      <c r="O71" s="627"/>
      <c r="P71" s="652"/>
      <c r="Q71" s="655"/>
      <c r="R71" s="653"/>
      <c r="S71" s="653"/>
      <c r="T71" s="653"/>
      <c r="U71" s="653"/>
      <c r="V71" s="653"/>
      <c r="W71" s="653"/>
      <c r="X71" s="653"/>
      <c r="Y71" s="656"/>
      <c r="Z71" s="657"/>
      <c r="AA71" s="657"/>
      <c r="AB71" s="657"/>
    </row>
    <row r="72" spans="1:28">
      <c r="A72" s="643" t="s">
        <v>344</v>
      </c>
      <c r="B72" s="1067">
        <v>158190</v>
      </c>
      <c r="C72" s="644">
        <v>23749</v>
      </c>
      <c r="D72" s="644">
        <v>23506</v>
      </c>
      <c r="E72" s="644">
        <v>8576</v>
      </c>
      <c r="F72" s="644">
        <v>5429</v>
      </c>
      <c r="G72" s="658"/>
      <c r="H72" s="644">
        <v>20858</v>
      </c>
      <c r="I72" s="644">
        <v>14554</v>
      </c>
      <c r="J72" s="646">
        <v>2617</v>
      </c>
      <c r="K72" s="647"/>
      <c r="L72" s="647"/>
      <c r="M72" s="647">
        <v>3095</v>
      </c>
      <c r="N72" s="627"/>
      <c r="O72" s="627"/>
      <c r="P72" s="643" t="s">
        <v>344</v>
      </c>
      <c r="Q72" s="651">
        <v>6.5326506100259182E-2</v>
      </c>
      <c r="R72" s="649">
        <v>0.43357615057476107</v>
      </c>
      <c r="S72" s="649">
        <v>0.43563345528801156</v>
      </c>
      <c r="T72" s="649">
        <v>0.61881996268656714</v>
      </c>
      <c r="U72" s="649">
        <v>0.71228587216798678</v>
      </c>
      <c r="V72" s="645"/>
      <c r="W72" s="649">
        <v>0.38311439255920987</v>
      </c>
      <c r="X72" s="649">
        <v>0.47093582520269339</v>
      </c>
      <c r="Y72" s="650">
        <v>0.37332823844096291</v>
      </c>
      <c r="Z72" s="651"/>
      <c r="AA72" s="651"/>
      <c r="AB72" s="651">
        <v>0.74959612277867527</v>
      </c>
    </row>
    <row r="73" spans="1:28">
      <c r="A73" s="652"/>
      <c r="B73" s="1066"/>
      <c r="C73" s="653">
        <v>0.15012959099816675</v>
      </c>
      <c r="D73" s="653">
        <v>0.1485934635564827</v>
      </c>
      <c r="E73" s="653">
        <v>5.4213287818446171E-2</v>
      </c>
      <c r="F73" s="653">
        <v>3.4319489221821861E-2</v>
      </c>
      <c r="G73" s="653"/>
      <c r="H73" s="653">
        <v>0.13185409950060054</v>
      </c>
      <c r="I73" s="653">
        <v>9.2003287186294969E-2</v>
      </c>
      <c r="J73" s="654">
        <v>1.6543397180605601E-2</v>
      </c>
      <c r="K73" s="654"/>
      <c r="L73" s="654"/>
      <c r="M73" s="654">
        <v>1.9565079967128137E-2</v>
      </c>
      <c r="N73" s="627"/>
      <c r="O73" s="627"/>
      <c r="P73" s="652"/>
      <c r="Q73" s="655"/>
      <c r="R73" s="653"/>
      <c r="S73" s="653"/>
      <c r="T73" s="653"/>
      <c r="U73" s="653"/>
      <c r="V73" s="659"/>
      <c r="W73" s="653"/>
      <c r="X73" s="653"/>
      <c r="Y73" s="656"/>
      <c r="Z73" s="657"/>
      <c r="AA73" s="657"/>
      <c r="AB73" s="657"/>
    </row>
    <row r="74" spans="1:28">
      <c r="A74" s="643" t="s">
        <v>347</v>
      </c>
      <c r="B74" s="1067">
        <v>260824</v>
      </c>
      <c r="C74" s="644">
        <v>89555</v>
      </c>
      <c r="D74" s="644">
        <v>81903</v>
      </c>
      <c r="E74" s="644">
        <v>68029</v>
      </c>
      <c r="F74" s="644">
        <v>29143</v>
      </c>
      <c r="G74" s="644">
        <v>20239</v>
      </c>
      <c r="H74" s="658"/>
      <c r="I74" s="658">
        <v>58004</v>
      </c>
      <c r="J74" s="646">
        <v>38096</v>
      </c>
      <c r="K74" s="647"/>
      <c r="L74" s="647"/>
      <c r="M74" s="647">
        <v>13073</v>
      </c>
      <c r="N74" s="627"/>
      <c r="O74" s="627"/>
      <c r="P74" s="643" t="s">
        <v>347</v>
      </c>
      <c r="Q74" s="651">
        <v>0.25338159065116705</v>
      </c>
      <c r="R74" s="649">
        <v>0.65967282675450845</v>
      </c>
      <c r="S74" s="649">
        <v>0.69026775575986232</v>
      </c>
      <c r="T74" s="649">
        <v>0.73239353804994933</v>
      </c>
      <c r="U74" s="649">
        <v>0.85907422022441071</v>
      </c>
      <c r="V74" s="649">
        <v>0.82350906665349077</v>
      </c>
      <c r="W74" s="660"/>
      <c r="X74" s="660">
        <v>0.68796979518653889</v>
      </c>
      <c r="Y74" s="650">
        <v>0.64345338093238136</v>
      </c>
      <c r="Z74" s="651"/>
      <c r="AA74" s="651"/>
      <c r="AB74" s="651">
        <v>0.89466840052015606</v>
      </c>
    </row>
    <row r="75" spans="1:28">
      <c r="A75" s="652"/>
      <c r="B75" s="1066"/>
      <c r="C75" s="653">
        <v>0.34335413918964514</v>
      </c>
      <c r="D75" s="653">
        <v>0.31401634818881696</v>
      </c>
      <c r="E75" s="653">
        <v>0.26082339048553815</v>
      </c>
      <c r="F75" s="653">
        <v>0.11173434959973008</v>
      </c>
      <c r="G75" s="653">
        <v>7.7596386835567285E-2</v>
      </c>
      <c r="H75" s="653"/>
      <c r="I75" s="653">
        <v>0.22238751035180812</v>
      </c>
      <c r="J75" s="654">
        <v>0.14606017851117994</v>
      </c>
      <c r="K75" s="654"/>
      <c r="L75" s="654"/>
      <c r="M75" s="654">
        <v>5.0121921295586298E-2</v>
      </c>
      <c r="N75" s="627"/>
      <c r="O75" s="627"/>
      <c r="P75" s="652"/>
      <c r="Q75" s="661"/>
      <c r="R75" s="653"/>
      <c r="S75" s="653"/>
      <c r="T75" s="653"/>
      <c r="U75" s="653"/>
      <c r="V75" s="653"/>
      <c r="W75" s="653"/>
      <c r="X75" s="653"/>
      <c r="Y75" s="656"/>
      <c r="Z75" s="657"/>
      <c r="AA75" s="657"/>
      <c r="AB75" s="657"/>
    </row>
    <row r="76" spans="1:28">
      <c r="A76" s="643" t="s">
        <v>122</v>
      </c>
      <c r="B76" s="1068">
        <v>1245128</v>
      </c>
      <c r="C76" s="644">
        <v>31211</v>
      </c>
      <c r="D76" s="644">
        <v>29528</v>
      </c>
      <c r="E76" s="644">
        <v>12760</v>
      </c>
      <c r="F76" s="644">
        <v>6121</v>
      </c>
      <c r="G76" s="644">
        <v>3591</v>
      </c>
      <c r="H76" s="658">
        <v>25456</v>
      </c>
      <c r="I76" s="658"/>
      <c r="J76" s="646">
        <v>6649</v>
      </c>
      <c r="K76" s="647"/>
      <c r="L76" s="647"/>
      <c r="M76" s="647">
        <v>2210</v>
      </c>
      <c r="N76" s="627"/>
      <c r="O76" s="627"/>
      <c r="P76" s="643" t="s">
        <v>122</v>
      </c>
      <c r="Q76" s="651">
        <v>1.5008095553228263E-2</v>
      </c>
      <c r="R76" s="649">
        <v>0.57633526641248278</v>
      </c>
      <c r="S76" s="649">
        <v>0.59709428339203463</v>
      </c>
      <c r="T76" s="649">
        <v>0.76394984326018811</v>
      </c>
      <c r="U76" s="649">
        <v>0.7969286064368567</v>
      </c>
      <c r="V76" s="649">
        <v>0.86800334168755222</v>
      </c>
      <c r="W76" s="649">
        <v>0.55833595223130106</v>
      </c>
      <c r="X76" s="660"/>
      <c r="Y76" s="650">
        <v>0.45931719055497067</v>
      </c>
      <c r="Z76" s="651"/>
      <c r="AA76" s="651"/>
      <c r="AB76" s="651">
        <v>0.80497737556561089</v>
      </c>
    </row>
    <row r="77" spans="1:28">
      <c r="A77" s="662"/>
      <c r="B77" s="1069"/>
      <c r="C77" s="663">
        <v>2.5066499187232156E-2</v>
      </c>
      <c r="D77" s="664">
        <v>2.3714830925013333E-2</v>
      </c>
      <c r="E77" s="664">
        <v>1.0247942380221149E-2</v>
      </c>
      <c r="F77" s="664">
        <v>4.9159604474399423E-3</v>
      </c>
      <c r="G77" s="664">
        <v>2.8840408375685072E-3</v>
      </c>
      <c r="H77" s="664">
        <v>2.0444484422485077E-2</v>
      </c>
      <c r="I77" s="664"/>
      <c r="J77" s="654">
        <v>5.3400132355870241E-3</v>
      </c>
      <c r="K77" s="666"/>
      <c r="L77" s="666"/>
      <c r="M77" s="654">
        <v>1.7749179200853245E-3</v>
      </c>
      <c r="N77" s="627"/>
      <c r="O77" s="627"/>
      <c r="P77" s="662"/>
      <c r="Q77" s="667"/>
      <c r="R77" s="664"/>
      <c r="S77" s="664"/>
      <c r="T77" s="664"/>
      <c r="U77" s="664"/>
      <c r="V77" s="664"/>
      <c r="W77" s="664"/>
      <c r="X77" s="664"/>
      <c r="Y77" s="665"/>
      <c r="Z77" s="666"/>
      <c r="AA77" s="666"/>
      <c r="AB77" s="666"/>
    </row>
    <row r="78" spans="1:28">
      <c r="A78" s="668" t="s">
        <v>348</v>
      </c>
      <c r="B78" s="669">
        <f>B68+B70+B72+B74+B76</f>
        <v>2030574.25</v>
      </c>
      <c r="C78" s="670">
        <f>C68+C70+C72+C74+C76</f>
        <v>267007</v>
      </c>
      <c r="D78" s="670">
        <f t="shared" ref="D78:J78" si="43">D68+D70+D72+D74+D76</f>
        <v>254151</v>
      </c>
      <c r="E78" s="670">
        <f t="shared" si="43"/>
        <v>115290</v>
      </c>
      <c r="F78" s="670">
        <f t="shared" si="43"/>
        <v>56767</v>
      </c>
      <c r="G78" s="670">
        <f t="shared" si="43"/>
        <v>48569</v>
      </c>
      <c r="H78" s="670">
        <f t="shared" si="43"/>
        <v>146068</v>
      </c>
      <c r="I78" s="670">
        <f t="shared" si="43"/>
        <v>154129</v>
      </c>
      <c r="J78" s="671">
        <f t="shared" si="43"/>
        <v>74947</v>
      </c>
      <c r="K78" s="672"/>
      <c r="L78" s="672"/>
      <c r="M78" s="672">
        <f>M68+M70+M72+M74+M76</f>
        <v>31067</v>
      </c>
      <c r="N78" s="627"/>
      <c r="O78" s="627"/>
      <c r="P78" s="668" t="s">
        <v>348</v>
      </c>
      <c r="Q78" s="673"/>
      <c r="R78" s="674"/>
      <c r="S78" s="674"/>
      <c r="T78" s="674"/>
      <c r="U78" s="674"/>
      <c r="V78" s="674"/>
      <c r="W78" s="674"/>
      <c r="X78" s="674"/>
      <c r="Y78" s="675"/>
      <c r="Z78" s="673"/>
      <c r="AA78" s="673"/>
      <c r="AB78" s="673"/>
    </row>
    <row r="79" spans="1:28">
      <c r="A79" s="676" t="s">
        <v>349</v>
      </c>
      <c r="B79" s="677"/>
      <c r="C79" s="678">
        <v>0.12703411876203058</v>
      </c>
      <c r="D79" s="678">
        <v>0.12064295034053618</v>
      </c>
      <c r="E79" s="678">
        <v>5.4370532674623058E-2</v>
      </c>
      <c r="F79" s="678">
        <v>2.7255421863343298E-2</v>
      </c>
      <c r="G79" s="678">
        <v>2.3768692219564246E-2</v>
      </c>
      <c r="H79" s="678">
        <v>7.1934330891864698E-2</v>
      </c>
      <c r="I79" s="678">
        <v>7.590414386472201E-2</v>
      </c>
      <c r="J79" s="679">
        <v>3.690926347559071E-2</v>
      </c>
      <c r="K79" s="680"/>
      <c r="L79" s="680"/>
      <c r="M79" s="680">
        <v>1.5299612905068602E-2</v>
      </c>
      <c r="N79" s="627"/>
      <c r="O79" s="627"/>
      <c r="P79" s="676" t="s">
        <v>349</v>
      </c>
      <c r="Q79" s="681"/>
      <c r="R79" s="682"/>
      <c r="S79" s="682"/>
      <c r="T79" s="682"/>
      <c r="U79" s="682"/>
      <c r="V79" s="682"/>
      <c r="W79" s="682"/>
      <c r="X79" s="682"/>
      <c r="Y79" s="683"/>
      <c r="Z79" s="684"/>
      <c r="AA79" s="684"/>
      <c r="AB79" s="684"/>
    </row>
    <row r="80" spans="1:28">
      <c r="A80" s="643" t="s">
        <v>51</v>
      </c>
      <c r="B80" s="1067">
        <v>89036</v>
      </c>
      <c r="C80" s="644">
        <v>18214</v>
      </c>
      <c r="D80" s="644">
        <v>17210</v>
      </c>
      <c r="E80" s="644">
        <v>6738</v>
      </c>
      <c r="F80" s="644">
        <v>3192</v>
      </c>
      <c r="G80" s="644">
        <v>1739</v>
      </c>
      <c r="H80" s="644">
        <v>14764</v>
      </c>
      <c r="I80" s="644">
        <v>7716</v>
      </c>
      <c r="J80" s="685"/>
      <c r="K80" s="686"/>
      <c r="L80" s="686"/>
      <c r="M80" s="686">
        <v>1137</v>
      </c>
      <c r="N80" s="627"/>
      <c r="O80" s="627"/>
      <c r="P80" s="643" t="s">
        <v>51</v>
      </c>
      <c r="Q80" s="651"/>
      <c r="R80" s="649"/>
      <c r="S80" s="649"/>
      <c r="T80" s="649"/>
      <c r="U80" s="649"/>
      <c r="V80" s="649"/>
      <c r="W80" s="649"/>
      <c r="X80" s="649"/>
      <c r="Y80" s="658"/>
      <c r="Z80" s="651"/>
      <c r="AA80" s="651"/>
      <c r="AB80" s="651"/>
    </row>
    <row r="81" spans="1:28">
      <c r="A81" s="687"/>
      <c r="B81" s="1064"/>
      <c r="C81" s="688">
        <v>0.20456893840693652</v>
      </c>
      <c r="D81" s="688">
        <v>0.19329260074576576</v>
      </c>
      <c r="E81" s="688">
        <v>7.5677254144391026E-2</v>
      </c>
      <c r="F81" s="688">
        <v>3.585066714587358E-2</v>
      </c>
      <c r="G81" s="688">
        <v>1.9531425490812705E-2</v>
      </c>
      <c r="H81" s="688">
        <v>0.16582056696167843</v>
      </c>
      <c r="I81" s="688">
        <v>8.6661575093220714E-2</v>
      </c>
      <c r="J81" s="689">
        <v>0</v>
      </c>
      <c r="K81" s="690"/>
      <c r="L81" s="690"/>
      <c r="M81" s="690">
        <v>1.2770115458915494E-2</v>
      </c>
      <c r="N81" s="627"/>
      <c r="O81" s="627"/>
      <c r="P81" s="687"/>
      <c r="Q81" s="642"/>
      <c r="R81" s="688"/>
      <c r="S81" s="688"/>
      <c r="T81" s="688"/>
      <c r="U81" s="688"/>
      <c r="V81" s="688"/>
      <c r="W81" s="688"/>
      <c r="X81" s="688"/>
      <c r="Y81" s="689"/>
      <c r="Z81" s="690"/>
      <c r="AA81" s="690"/>
      <c r="AB81" s="690"/>
    </row>
    <row r="82" spans="1:28">
      <c r="A82" s="668" t="s">
        <v>350</v>
      </c>
      <c r="B82" s="691">
        <f>B78+B80</f>
        <v>2119610.25</v>
      </c>
      <c r="C82" s="692">
        <f t="shared" ref="C82:J82" si="44">C78+C80</f>
        <v>285221</v>
      </c>
      <c r="D82" s="693">
        <f t="shared" si="44"/>
        <v>271361</v>
      </c>
      <c r="E82" s="693">
        <f t="shared" si="44"/>
        <v>122028</v>
      </c>
      <c r="F82" s="693">
        <f t="shared" si="44"/>
        <v>59959</v>
      </c>
      <c r="G82" s="693">
        <f t="shared" si="44"/>
        <v>50308</v>
      </c>
      <c r="H82" s="693">
        <f t="shared" si="44"/>
        <v>160832</v>
      </c>
      <c r="I82" s="693">
        <f t="shared" si="44"/>
        <v>161845</v>
      </c>
      <c r="J82" s="694">
        <f t="shared" si="44"/>
        <v>74947</v>
      </c>
      <c r="K82" s="695"/>
      <c r="L82" s="695"/>
      <c r="M82" s="695">
        <f>M78+M80</f>
        <v>32204</v>
      </c>
      <c r="N82" s="627"/>
      <c r="O82" s="627"/>
      <c r="P82" s="668" t="s">
        <v>350</v>
      </c>
      <c r="Q82" s="696"/>
      <c r="R82" s="697"/>
      <c r="S82" s="698"/>
      <c r="T82" s="698"/>
      <c r="U82" s="698"/>
      <c r="V82" s="698"/>
      <c r="W82" s="698"/>
      <c r="X82" s="698"/>
      <c r="Y82" s="699"/>
      <c r="Z82" s="700"/>
      <c r="AA82" s="700"/>
      <c r="AB82" s="700"/>
    </row>
    <row r="83" spans="1:28" ht="15.75" thickBot="1">
      <c r="A83" s="701"/>
      <c r="B83" s="702"/>
      <c r="C83" s="703">
        <f>C82/$B82</f>
        <v>0.13456294618314854</v>
      </c>
      <c r="D83" s="703">
        <f t="shared" ref="D83:J83" si="45">D82/$B82</f>
        <v>0.12802400818735427</v>
      </c>
      <c r="E83" s="703">
        <f t="shared" si="45"/>
        <v>5.7570961453880493E-2</v>
      </c>
      <c r="F83" s="703">
        <f t="shared" si="45"/>
        <v>2.8287747712108867E-2</v>
      </c>
      <c r="G83" s="703">
        <f t="shared" si="45"/>
        <v>2.3734552142310125E-2</v>
      </c>
      <c r="H83" s="703">
        <f t="shared" si="45"/>
        <v>7.587810070271174E-2</v>
      </c>
      <c r="I83" s="703">
        <f t="shared" si="45"/>
        <v>7.6356018753919494E-2</v>
      </c>
      <c r="J83" s="704">
        <f t="shared" si="45"/>
        <v>3.5358859016651763E-2</v>
      </c>
      <c r="K83" s="705"/>
      <c r="L83" s="705"/>
      <c r="M83" s="705">
        <f>M82/$B82</f>
        <v>1.5193359250833968E-2</v>
      </c>
      <c r="N83" s="706"/>
      <c r="O83" s="627"/>
      <c r="P83" s="701"/>
      <c r="Q83" s="702"/>
      <c r="R83" s="703"/>
      <c r="S83" s="703"/>
      <c r="T83" s="703"/>
      <c r="U83" s="703"/>
      <c r="V83" s="703"/>
      <c r="W83" s="703"/>
      <c r="X83" s="703"/>
      <c r="Y83" s="704"/>
      <c r="Z83" s="705"/>
      <c r="AA83" s="705"/>
      <c r="AB83" s="705"/>
    </row>
    <row r="84" spans="1:28">
      <c r="A84" s="965"/>
      <c r="B84" s="965"/>
      <c r="C84" s="965"/>
      <c r="D84" s="965"/>
      <c r="E84" s="965"/>
      <c r="F84" s="965"/>
      <c r="G84" s="965"/>
      <c r="H84" s="965"/>
      <c r="I84" s="965"/>
      <c r="J84" s="965"/>
      <c r="K84" s="965"/>
      <c r="L84" s="965"/>
      <c r="M84" s="965"/>
      <c r="N84" s="965"/>
      <c r="O84" s="965"/>
      <c r="P84" s="965"/>
      <c r="Q84" s="965"/>
      <c r="R84" s="965"/>
      <c r="S84" s="965"/>
      <c r="T84" s="965"/>
      <c r="U84" s="965"/>
      <c r="V84" s="965"/>
      <c r="W84" s="965"/>
      <c r="X84" s="965"/>
      <c r="Y84" s="965"/>
      <c r="Z84" s="965"/>
      <c r="AA84" s="965"/>
      <c r="AB84" s="965"/>
    </row>
    <row r="85" spans="1:28">
      <c r="A85" s="965"/>
      <c r="B85" s="965"/>
      <c r="C85" s="965"/>
      <c r="D85" s="965"/>
      <c r="E85" s="965"/>
      <c r="F85" s="965"/>
      <c r="G85" s="965"/>
      <c r="H85" s="965"/>
      <c r="I85" s="965"/>
      <c r="J85" s="965"/>
      <c r="K85" s="965"/>
      <c r="L85" s="965"/>
      <c r="M85" s="965"/>
      <c r="N85" s="965"/>
      <c r="O85" s="965"/>
      <c r="P85" s="965"/>
      <c r="Q85" s="965"/>
      <c r="R85" s="965"/>
      <c r="S85" s="965"/>
      <c r="T85" s="965"/>
      <c r="U85" s="965"/>
      <c r="V85" s="965"/>
      <c r="W85" s="965"/>
      <c r="X85" s="965"/>
      <c r="Y85" s="965"/>
      <c r="Z85" s="965"/>
      <c r="AA85" s="965"/>
      <c r="AB85" s="965"/>
    </row>
    <row r="86" spans="1:28">
      <c r="A86" s="625" t="s">
        <v>324</v>
      </c>
      <c r="B86" s="626"/>
      <c r="C86" s="625">
        <v>2016</v>
      </c>
      <c r="D86" s="623"/>
      <c r="E86" s="623"/>
      <c r="F86" s="623"/>
      <c r="G86" s="623"/>
      <c r="H86" s="965"/>
      <c r="I86" s="965"/>
      <c r="J86" s="965"/>
      <c r="K86" s="965"/>
      <c r="L86" s="965"/>
      <c r="M86" s="965"/>
      <c r="N86" s="627"/>
      <c r="O86" s="627"/>
      <c r="P86" s="625" t="s">
        <v>324</v>
      </c>
      <c r="Q86" s="625"/>
      <c r="R86" s="625">
        <v>2016</v>
      </c>
      <c r="S86" s="623"/>
      <c r="T86" s="627"/>
      <c r="U86" s="627"/>
      <c r="V86" s="627"/>
      <c r="W86" s="627"/>
      <c r="X86" s="627"/>
      <c r="Y86" s="627"/>
      <c r="Z86" s="627"/>
      <c r="AA86" s="627"/>
      <c r="AB86" s="627"/>
    </row>
    <row r="87" spans="1:28" ht="15.75" thickBot="1">
      <c r="A87" s="627"/>
      <c r="B87" s="964"/>
      <c r="C87" s="627"/>
      <c r="D87" s="627"/>
      <c r="E87" s="627"/>
      <c r="F87" s="627"/>
      <c r="G87" s="627"/>
      <c r="H87" s="627"/>
      <c r="I87" s="627"/>
      <c r="J87" s="627"/>
      <c r="K87" s="627"/>
      <c r="L87" s="627"/>
      <c r="M87" s="627"/>
      <c r="N87" s="627"/>
      <c r="O87" s="627"/>
      <c r="P87" s="627"/>
      <c r="Q87" s="627"/>
      <c r="R87" s="627"/>
      <c r="S87" s="627"/>
      <c r="T87" s="627"/>
      <c r="U87" s="627"/>
      <c r="V87" s="627"/>
      <c r="W87" s="627"/>
      <c r="X87" s="627"/>
      <c r="Y87" s="627"/>
      <c r="Z87" s="627"/>
      <c r="AA87" s="627"/>
      <c r="AB87" s="627"/>
    </row>
    <row r="88" spans="1:28">
      <c r="A88" s="629" t="s">
        <v>325</v>
      </c>
      <c r="B88" s="630" t="s">
        <v>326</v>
      </c>
      <c r="C88" s="631"/>
      <c r="D88" s="631"/>
      <c r="E88" s="631" t="s">
        <v>327</v>
      </c>
      <c r="F88" s="631"/>
      <c r="G88" s="631"/>
      <c r="H88" s="631"/>
      <c r="I88" s="631"/>
      <c r="J88" s="631"/>
      <c r="K88" s="629" t="s">
        <v>328</v>
      </c>
      <c r="L88" s="629" t="s">
        <v>329</v>
      </c>
      <c r="M88" s="629" t="s">
        <v>330</v>
      </c>
      <c r="N88" s="627"/>
      <c r="O88" s="627"/>
      <c r="P88" s="629" t="s">
        <v>325</v>
      </c>
      <c r="Q88" s="632" t="s">
        <v>326</v>
      </c>
      <c r="R88" s="631"/>
      <c r="S88" s="631"/>
      <c r="T88" s="631" t="s">
        <v>331</v>
      </c>
      <c r="U88" s="631"/>
      <c r="V88" s="631"/>
      <c r="W88" s="631"/>
      <c r="X88" s="631"/>
      <c r="Y88" s="631"/>
      <c r="Z88" s="629" t="s">
        <v>328</v>
      </c>
      <c r="AA88" s="629" t="s">
        <v>329</v>
      </c>
      <c r="AB88" s="629" t="s">
        <v>330</v>
      </c>
    </row>
    <row r="89" spans="1:28">
      <c r="A89" s="633" t="s">
        <v>332</v>
      </c>
      <c r="B89" s="1063" t="s">
        <v>333</v>
      </c>
      <c r="C89" s="634"/>
      <c r="D89" s="634"/>
      <c r="E89" s="634" t="s">
        <v>334</v>
      </c>
      <c r="F89" s="634"/>
      <c r="G89" s="634"/>
      <c r="H89" s="634"/>
      <c r="I89" s="634"/>
      <c r="J89" s="634"/>
      <c r="K89" s="635" t="s">
        <v>335</v>
      </c>
      <c r="L89" s="635" t="s">
        <v>335</v>
      </c>
      <c r="M89" s="635" t="s">
        <v>335</v>
      </c>
      <c r="N89" s="627"/>
      <c r="O89" s="627"/>
      <c r="P89" s="633" t="s">
        <v>332</v>
      </c>
      <c r="Q89" s="636" t="s">
        <v>333</v>
      </c>
      <c r="R89" s="634"/>
      <c r="S89" s="634"/>
      <c r="T89" s="634" t="s">
        <v>336</v>
      </c>
      <c r="U89" s="634"/>
      <c r="V89" s="634"/>
      <c r="W89" s="634"/>
      <c r="X89" s="634"/>
      <c r="Y89" s="634"/>
      <c r="Z89" s="635" t="s">
        <v>335</v>
      </c>
      <c r="AA89" s="635" t="s">
        <v>335</v>
      </c>
      <c r="AB89" s="635" t="s">
        <v>335</v>
      </c>
    </row>
    <row r="90" spans="1:28">
      <c r="A90" s="633" t="s">
        <v>337</v>
      </c>
      <c r="B90" s="1063" t="s">
        <v>53</v>
      </c>
      <c r="C90" s="637" t="s">
        <v>338</v>
      </c>
      <c r="D90" s="637" t="s">
        <v>339</v>
      </c>
      <c r="E90" s="637"/>
      <c r="F90" s="637"/>
      <c r="G90" s="637"/>
      <c r="H90" s="637"/>
      <c r="I90" s="637"/>
      <c r="J90" s="638" t="s">
        <v>164</v>
      </c>
      <c r="K90" s="633" t="s">
        <v>340</v>
      </c>
      <c r="L90" s="633" t="s">
        <v>341</v>
      </c>
      <c r="M90" s="633" t="s">
        <v>341</v>
      </c>
      <c r="N90" s="627"/>
      <c r="O90" s="627"/>
      <c r="P90" s="633" t="s">
        <v>337</v>
      </c>
      <c r="Q90" s="636" t="s">
        <v>53</v>
      </c>
      <c r="R90" s="637" t="s">
        <v>338</v>
      </c>
      <c r="S90" s="637" t="s">
        <v>357</v>
      </c>
      <c r="T90" s="637"/>
      <c r="U90" s="637"/>
      <c r="V90" s="637"/>
      <c r="W90" s="637"/>
      <c r="X90" s="637"/>
      <c r="Y90" s="638" t="s">
        <v>164</v>
      </c>
      <c r="Z90" s="633" t="s">
        <v>340</v>
      </c>
      <c r="AA90" s="633" t="s">
        <v>341</v>
      </c>
      <c r="AB90" s="633" t="s">
        <v>341</v>
      </c>
    </row>
    <row r="91" spans="1:28">
      <c r="A91" s="639"/>
      <c r="B91" s="1064"/>
      <c r="C91" s="640" t="s">
        <v>342</v>
      </c>
      <c r="D91" s="640" t="s">
        <v>343</v>
      </c>
      <c r="E91" s="640" t="s">
        <v>127</v>
      </c>
      <c r="F91" s="640" t="s">
        <v>56</v>
      </c>
      <c r="G91" s="640" t="s">
        <v>344</v>
      </c>
      <c r="H91" s="640" t="s">
        <v>345</v>
      </c>
      <c r="I91" s="640" t="s">
        <v>122</v>
      </c>
      <c r="J91" s="634" t="s">
        <v>346</v>
      </c>
      <c r="K91" s="641" t="s">
        <v>361</v>
      </c>
      <c r="L91" s="641" t="s">
        <v>362</v>
      </c>
      <c r="M91" s="641" t="s">
        <v>363</v>
      </c>
      <c r="N91" s="627"/>
      <c r="O91" s="627"/>
      <c r="P91" s="639"/>
      <c r="Q91" s="642"/>
      <c r="R91" s="640" t="s">
        <v>342</v>
      </c>
      <c r="S91" s="640" t="s">
        <v>358</v>
      </c>
      <c r="T91" s="640" t="s">
        <v>127</v>
      </c>
      <c r="U91" s="640" t="s">
        <v>56</v>
      </c>
      <c r="V91" s="640" t="s">
        <v>344</v>
      </c>
      <c r="W91" s="640" t="s">
        <v>360</v>
      </c>
      <c r="X91" s="640" t="s">
        <v>122</v>
      </c>
      <c r="Y91" s="634" t="s">
        <v>346</v>
      </c>
      <c r="Z91" s="641" t="s">
        <v>361</v>
      </c>
      <c r="AA91" s="641" t="s">
        <v>362</v>
      </c>
      <c r="AB91" s="641" t="s">
        <v>363</v>
      </c>
    </row>
    <row r="92" spans="1:28">
      <c r="A92" s="643" t="s">
        <v>127</v>
      </c>
      <c r="B92" s="1065">
        <v>130034.25</v>
      </c>
      <c r="C92" s="644">
        <v>52184</v>
      </c>
      <c r="D92" s="644">
        <v>50845</v>
      </c>
      <c r="E92" s="645"/>
      <c r="F92" s="644">
        <v>16552</v>
      </c>
      <c r="G92" s="644">
        <v>10278</v>
      </c>
      <c r="H92" s="644">
        <v>45718</v>
      </c>
      <c r="I92" s="644">
        <v>33665</v>
      </c>
      <c r="J92" s="646">
        <v>14043</v>
      </c>
      <c r="K92" s="647"/>
      <c r="L92" s="647"/>
      <c r="M92" s="647">
        <v>7153</v>
      </c>
      <c r="N92" s="627"/>
      <c r="O92" s="627"/>
      <c r="P92" s="643" t="s">
        <v>127</v>
      </c>
      <c r="Q92" s="648">
        <v>0.31376430418009749</v>
      </c>
      <c r="R92" s="649">
        <v>0.69272190709796111</v>
      </c>
      <c r="S92" s="649">
        <v>0.69774805782279481</v>
      </c>
      <c r="T92" s="645"/>
      <c r="U92" s="649">
        <v>0.84751087481875298</v>
      </c>
      <c r="V92" s="649">
        <v>0.8685541934228449</v>
      </c>
      <c r="W92" s="649">
        <v>0.69521851349577846</v>
      </c>
      <c r="X92" s="649">
        <v>0.74558146442893214</v>
      </c>
      <c r="Y92" s="650">
        <v>0.77241330200099689</v>
      </c>
      <c r="Z92" s="651"/>
      <c r="AA92" s="651"/>
      <c r="AB92" s="651">
        <v>0.86257514329651896</v>
      </c>
    </row>
    <row r="93" spans="1:28">
      <c r="A93" s="652"/>
      <c r="B93" s="1066"/>
      <c r="C93" s="653">
        <v>0.40130965495629034</v>
      </c>
      <c r="D93" s="653">
        <v>0.39101236789538141</v>
      </c>
      <c r="E93" s="653"/>
      <c r="F93" s="653">
        <v>0.12728954102476847</v>
      </c>
      <c r="G93" s="653">
        <v>7.9040714273354906E-2</v>
      </c>
      <c r="H93" s="653">
        <v>0.35158429413789061</v>
      </c>
      <c r="I93" s="653">
        <v>0.25889333002651227</v>
      </c>
      <c r="J93" s="654">
        <v>0.10799462449316238</v>
      </c>
      <c r="K93" s="654"/>
      <c r="L93" s="654"/>
      <c r="M93" s="654">
        <v>5.5008584276834756E-2</v>
      </c>
      <c r="N93" s="627"/>
      <c r="O93" s="627"/>
      <c r="P93" s="652"/>
      <c r="Q93" s="655"/>
      <c r="R93" s="653"/>
      <c r="S93" s="653"/>
      <c r="T93" s="653"/>
      <c r="U93" s="653"/>
      <c r="V93" s="653"/>
      <c r="W93" s="653"/>
      <c r="X93" s="653"/>
      <c r="Y93" s="656"/>
      <c r="Z93" s="657"/>
      <c r="AA93" s="657"/>
      <c r="AB93" s="657"/>
    </row>
    <row r="94" spans="1:28">
      <c r="A94" s="643" t="s">
        <v>56</v>
      </c>
      <c r="B94" s="1067">
        <v>238167</v>
      </c>
      <c r="C94" s="644">
        <v>67680</v>
      </c>
      <c r="D94" s="644">
        <v>65955</v>
      </c>
      <c r="E94" s="644">
        <v>25342</v>
      </c>
      <c r="F94" s="658"/>
      <c r="G94" s="644">
        <v>14816</v>
      </c>
      <c r="H94" s="644">
        <v>55959</v>
      </c>
      <c r="I94" s="644">
        <v>42090</v>
      </c>
      <c r="J94" s="646">
        <v>13481</v>
      </c>
      <c r="K94" s="647"/>
      <c r="L94" s="647"/>
      <c r="M94" s="647">
        <v>6308</v>
      </c>
      <c r="N94" s="627"/>
      <c r="O94" s="627"/>
      <c r="P94" s="643" t="s">
        <v>56</v>
      </c>
      <c r="Q94" s="651">
        <v>0.15079754961854497</v>
      </c>
      <c r="R94" s="649">
        <v>0.48061465721040192</v>
      </c>
      <c r="S94" s="649">
        <v>0.49122886816769007</v>
      </c>
      <c r="T94" s="649">
        <v>0.61999842159261309</v>
      </c>
      <c r="U94" s="645"/>
      <c r="V94" s="649">
        <v>0.68284287257019438</v>
      </c>
      <c r="W94" s="649">
        <v>0.4826390750370807</v>
      </c>
      <c r="X94" s="649">
        <v>0.58679021145165122</v>
      </c>
      <c r="Y94" s="650">
        <v>0.24738520881240264</v>
      </c>
      <c r="Z94" s="651"/>
      <c r="AA94" s="651"/>
      <c r="AB94" s="651">
        <v>0.80992390615091947</v>
      </c>
    </row>
    <row r="95" spans="1:28">
      <c r="A95" s="652"/>
      <c r="B95" s="1066"/>
      <c r="C95" s="653">
        <v>0.28417035105619165</v>
      </c>
      <c r="D95" s="653">
        <v>0.27692753404123999</v>
      </c>
      <c r="E95" s="653">
        <v>0.10640432973501787</v>
      </c>
      <c r="F95" s="653"/>
      <c r="G95" s="653">
        <v>6.2208450373057562E-2</v>
      </c>
      <c r="H95" s="653">
        <v>0.23495698396503295</v>
      </c>
      <c r="I95" s="653">
        <v>0.17672473516482132</v>
      </c>
      <c r="J95" s="654">
        <v>5.6603139813660164E-2</v>
      </c>
      <c r="K95" s="654"/>
      <c r="L95" s="654"/>
      <c r="M95" s="654">
        <v>2.648561723496538E-2</v>
      </c>
      <c r="N95" s="627"/>
      <c r="O95" s="627"/>
      <c r="P95" s="652"/>
      <c r="Q95" s="655"/>
      <c r="R95" s="653"/>
      <c r="S95" s="653"/>
      <c r="T95" s="653"/>
      <c r="U95" s="653"/>
      <c r="V95" s="653"/>
      <c r="W95" s="653"/>
      <c r="X95" s="653"/>
      <c r="Y95" s="656"/>
      <c r="Z95" s="657"/>
      <c r="AA95" s="657"/>
      <c r="AB95" s="657"/>
    </row>
    <row r="96" spans="1:28">
      <c r="A96" s="643" t="s">
        <v>344</v>
      </c>
      <c r="B96" s="1067">
        <v>162297</v>
      </c>
      <c r="C96" s="644">
        <v>25202</v>
      </c>
      <c r="D96" s="644">
        <v>24901</v>
      </c>
      <c r="E96" s="644">
        <v>8536</v>
      </c>
      <c r="F96" s="644">
        <v>5030</v>
      </c>
      <c r="G96" s="658"/>
      <c r="H96" s="644">
        <v>22221</v>
      </c>
      <c r="I96" s="644">
        <v>14570</v>
      </c>
      <c r="J96" s="646">
        <v>2670</v>
      </c>
      <c r="K96" s="647"/>
      <c r="L96" s="647"/>
      <c r="M96" s="647">
        <v>2885</v>
      </c>
      <c r="N96" s="627"/>
      <c r="O96" s="627"/>
      <c r="P96" s="643" t="s">
        <v>344</v>
      </c>
      <c r="Q96" s="651">
        <v>5.9360308570090635E-2</v>
      </c>
      <c r="R96" s="649">
        <v>0.38088246964526623</v>
      </c>
      <c r="S96" s="649">
        <v>0.38159110075900565</v>
      </c>
      <c r="T96" s="649">
        <v>0.56419868791002814</v>
      </c>
      <c r="U96" s="649">
        <v>0.67693836978131217</v>
      </c>
      <c r="V96" s="645"/>
      <c r="W96" s="649">
        <v>0.33468340758741733</v>
      </c>
      <c r="X96" s="649">
        <v>0.42971859986273164</v>
      </c>
      <c r="Y96" s="650">
        <v>0.38426966292134829</v>
      </c>
      <c r="Z96" s="651"/>
      <c r="AA96" s="651"/>
      <c r="AB96" s="651">
        <v>0.6991334488734835</v>
      </c>
    </row>
    <row r="97" spans="1:28">
      <c r="A97" s="652"/>
      <c r="B97" s="1066"/>
      <c r="C97" s="653">
        <v>0.15528321533977832</v>
      </c>
      <c r="D97" s="653">
        <v>0.15342859079342194</v>
      </c>
      <c r="E97" s="653">
        <v>5.2594933979063077E-2</v>
      </c>
      <c r="F97" s="653">
        <v>3.0992563017184543E-2</v>
      </c>
      <c r="G97" s="653"/>
      <c r="H97" s="653">
        <v>0.13691565463317251</v>
      </c>
      <c r="I97" s="653">
        <v>8.9773686512997775E-2</v>
      </c>
      <c r="J97" s="654">
        <v>1.6451320726815651E-2</v>
      </c>
      <c r="K97" s="654"/>
      <c r="L97" s="654"/>
      <c r="M97" s="654">
        <v>1.7776052545641633E-2</v>
      </c>
      <c r="N97" s="627"/>
      <c r="O97" s="627"/>
      <c r="P97" s="652"/>
      <c r="Q97" s="655"/>
      <c r="R97" s="653"/>
      <c r="S97" s="653"/>
      <c r="T97" s="653"/>
      <c r="U97" s="653"/>
      <c r="V97" s="659"/>
      <c r="W97" s="653"/>
      <c r="X97" s="653"/>
      <c r="Y97" s="656"/>
      <c r="Z97" s="657"/>
      <c r="AA97" s="657"/>
      <c r="AB97" s="657"/>
    </row>
    <row r="98" spans="1:28">
      <c r="A98" s="643" t="s">
        <v>347</v>
      </c>
      <c r="B98" s="1067">
        <v>264685</v>
      </c>
      <c r="C98" s="644">
        <v>85564</v>
      </c>
      <c r="D98" s="644">
        <v>77861</v>
      </c>
      <c r="E98" s="644">
        <v>64636</v>
      </c>
      <c r="F98" s="644">
        <v>28072</v>
      </c>
      <c r="G98" s="644">
        <v>19398</v>
      </c>
      <c r="H98" s="658"/>
      <c r="I98" s="658">
        <v>53726</v>
      </c>
      <c r="J98" s="646">
        <v>38621</v>
      </c>
      <c r="K98" s="647"/>
      <c r="L98" s="647"/>
      <c r="M98" s="647">
        <v>12346</v>
      </c>
      <c r="N98" s="965"/>
      <c r="O98" s="627"/>
      <c r="P98" s="643" t="s">
        <v>347</v>
      </c>
      <c r="Q98" s="651">
        <v>0.24337608855809736</v>
      </c>
      <c r="R98" s="649">
        <v>0.66970922350521245</v>
      </c>
      <c r="S98" s="649">
        <v>0.70110838545613341</v>
      </c>
      <c r="T98" s="649">
        <v>0.74654991026672446</v>
      </c>
      <c r="U98" s="649">
        <v>0.85718865773724706</v>
      </c>
      <c r="V98" s="649">
        <v>0.83426126404783996</v>
      </c>
      <c r="W98" s="660"/>
      <c r="X98" s="660">
        <v>0.70736701038603278</v>
      </c>
      <c r="Y98" s="650">
        <v>0.66730535201056418</v>
      </c>
      <c r="Z98" s="651"/>
      <c r="AA98" s="651"/>
      <c r="AB98" s="651">
        <v>0.90847237971812733</v>
      </c>
    </row>
    <row r="99" spans="1:28">
      <c r="A99" s="652"/>
      <c r="B99" s="1066"/>
      <c r="C99" s="653">
        <v>0.3232672799743091</v>
      </c>
      <c r="D99" s="653">
        <v>0.29416476188677104</v>
      </c>
      <c r="E99" s="653">
        <v>0.24419970908816141</v>
      </c>
      <c r="F99" s="653">
        <v>0.10605814458696186</v>
      </c>
      <c r="G99" s="653">
        <v>7.328711487239549E-2</v>
      </c>
      <c r="H99" s="653"/>
      <c r="I99" s="653">
        <v>0.20298090182669967</v>
      </c>
      <c r="J99" s="654">
        <v>0.14591306647524416</v>
      </c>
      <c r="K99" s="654"/>
      <c r="L99" s="654"/>
      <c r="M99" s="657">
        <v>4.6644124147571644E-2</v>
      </c>
      <c r="N99" s="965"/>
      <c r="O99" s="627"/>
      <c r="P99" s="652"/>
      <c r="Q99" s="661"/>
      <c r="R99" s="653"/>
      <c r="S99" s="653"/>
      <c r="T99" s="653"/>
      <c r="U99" s="653"/>
      <c r="V99" s="653"/>
      <c r="W99" s="653"/>
      <c r="X99" s="653"/>
      <c r="Y99" s="656"/>
      <c r="Z99" s="657"/>
      <c r="AA99" s="657"/>
      <c r="AB99" s="657"/>
    </row>
    <row r="100" spans="1:28">
      <c r="A100" s="643" t="s">
        <v>122</v>
      </c>
      <c r="B100" s="1067">
        <v>1200383</v>
      </c>
      <c r="C100" s="644">
        <v>24914</v>
      </c>
      <c r="D100" s="644">
        <v>23200</v>
      </c>
      <c r="E100" s="644">
        <v>10037</v>
      </c>
      <c r="F100" s="644">
        <v>4748</v>
      </c>
      <c r="G100" s="644">
        <v>2949</v>
      </c>
      <c r="H100" s="658">
        <v>21332</v>
      </c>
      <c r="I100" s="658"/>
      <c r="J100" s="646">
        <v>5280</v>
      </c>
      <c r="K100" s="647"/>
      <c r="L100" s="647"/>
      <c r="M100" s="647">
        <v>1907</v>
      </c>
      <c r="N100" s="627"/>
      <c r="O100" s="627"/>
      <c r="P100" s="643" t="s">
        <v>122</v>
      </c>
      <c r="Q100" s="651">
        <v>1.2392711326301689E-2</v>
      </c>
      <c r="R100" s="649">
        <v>0.58140001605522995</v>
      </c>
      <c r="S100" s="649">
        <v>0.61073275862068965</v>
      </c>
      <c r="T100" s="649">
        <v>0.71993623592706979</v>
      </c>
      <c r="U100" s="649">
        <v>0.81339511373209772</v>
      </c>
      <c r="V100" s="649">
        <v>0.85554425228891151</v>
      </c>
      <c r="W100" s="649">
        <v>0.59900618788674287</v>
      </c>
      <c r="X100" s="649"/>
      <c r="Y100" s="650">
        <v>0.4518939393939394</v>
      </c>
      <c r="Z100" s="651"/>
      <c r="AA100" s="651"/>
      <c r="AB100" s="651">
        <v>0.84320922915574203</v>
      </c>
    </row>
    <row r="101" spans="1:28">
      <c r="A101" s="662"/>
      <c r="B101" s="1069"/>
      <c r="C101" s="663">
        <v>2.0755042348983618E-2</v>
      </c>
      <c r="D101" s="664">
        <v>1.9327164746585048E-2</v>
      </c>
      <c r="E101" s="664">
        <v>8.3614979552359536E-3</v>
      </c>
      <c r="F101" s="664">
        <v>3.9554042334821468E-3</v>
      </c>
      <c r="G101" s="664">
        <v>2.4567158981758323E-3</v>
      </c>
      <c r="H101" s="664">
        <v>1.7770994757506563E-2</v>
      </c>
      <c r="I101" s="664"/>
      <c r="J101" s="707">
        <v>4.3985961147400459E-3</v>
      </c>
      <c r="K101" s="666"/>
      <c r="L101" s="666"/>
      <c r="M101" s="657">
        <v>1.5886596194714521E-3</v>
      </c>
      <c r="N101" s="627"/>
      <c r="O101" s="627"/>
      <c r="P101" s="662"/>
      <c r="Q101" s="667"/>
      <c r="R101" s="664"/>
      <c r="S101" s="664"/>
      <c r="T101" s="664"/>
      <c r="U101" s="664"/>
      <c r="V101" s="664"/>
      <c r="W101" s="664"/>
      <c r="X101" s="664"/>
      <c r="Y101" s="665"/>
      <c r="Z101" s="666"/>
      <c r="AA101" s="666"/>
      <c r="AB101" s="666"/>
    </row>
    <row r="102" spans="1:28">
      <c r="A102" s="668" t="s">
        <v>348</v>
      </c>
      <c r="B102" s="669">
        <f>B92+B94+B96+B98+B100</f>
        <v>1995566.25</v>
      </c>
      <c r="C102" s="670">
        <f t="shared" ref="C102:J102" si="46">C92+C94+C96+C98+C100</f>
        <v>255544</v>
      </c>
      <c r="D102" s="670">
        <f t="shared" si="46"/>
        <v>242762</v>
      </c>
      <c r="E102" s="670">
        <f t="shared" si="46"/>
        <v>108551</v>
      </c>
      <c r="F102" s="670">
        <f t="shared" si="46"/>
        <v>54402</v>
      </c>
      <c r="G102" s="670">
        <f t="shared" si="46"/>
        <v>47441</v>
      </c>
      <c r="H102" s="670">
        <f t="shared" si="46"/>
        <v>145230</v>
      </c>
      <c r="I102" s="670">
        <f t="shared" si="46"/>
        <v>144051</v>
      </c>
      <c r="J102" s="671">
        <f t="shared" si="46"/>
        <v>74095</v>
      </c>
      <c r="K102" s="672"/>
      <c r="L102" s="672"/>
      <c r="M102" s="672">
        <f>M92+M94+M96+M98+M100</f>
        <v>30599</v>
      </c>
      <c r="N102" s="627"/>
      <c r="O102" s="627"/>
      <c r="P102" s="668" t="s">
        <v>348</v>
      </c>
      <c r="Q102" s="673"/>
      <c r="R102" s="674"/>
      <c r="S102" s="674"/>
      <c r="T102" s="674"/>
      <c r="U102" s="674"/>
      <c r="V102" s="674"/>
      <c r="W102" s="674"/>
      <c r="X102" s="674"/>
      <c r="Y102" s="675"/>
      <c r="Z102" s="673"/>
      <c r="AA102" s="673"/>
      <c r="AB102" s="673"/>
    </row>
    <row r="103" spans="1:28">
      <c r="A103" s="676" t="s">
        <v>349</v>
      </c>
      <c r="B103" s="677"/>
      <c r="C103" s="678">
        <f>C102/$B102</f>
        <v>0.12805588388759331</v>
      </c>
      <c r="D103" s="678">
        <f t="shared" ref="D103:J103" si="47">D102/$B102</f>
        <v>0.12165068436089255</v>
      </c>
      <c r="E103" s="678">
        <f t="shared" si="47"/>
        <v>5.4396089330534629E-2</v>
      </c>
      <c r="F103" s="678">
        <f t="shared" si="47"/>
        <v>2.7261435194146023E-2</v>
      </c>
      <c r="G103" s="678">
        <f t="shared" si="47"/>
        <v>2.3773202217666288E-2</v>
      </c>
      <c r="H103" s="678">
        <f t="shared" si="47"/>
        <v>7.2776336039958589E-2</v>
      </c>
      <c r="I103" s="678">
        <f t="shared" si="47"/>
        <v>7.2185526288591026E-2</v>
      </c>
      <c r="J103" s="679">
        <f t="shared" si="47"/>
        <v>3.7129812152315166E-2</v>
      </c>
      <c r="K103" s="680"/>
      <c r="L103" s="680"/>
      <c r="M103" s="680">
        <f>M102/$B102</f>
        <v>1.5333492436044155E-2</v>
      </c>
      <c r="N103" s="627"/>
      <c r="O103" s="627"/>
      <c r="P103" s="676" t="s">
        <v>349</v>
      </c>
      <c r="Q103" s="681"/>
      <c r="R103" s="682"/>
      <c r="S103" s="682"/>
      <c r="T103" s="682"/>
      <c r="U103" s="682"/>
      <c r="V103" s="682"/>
      <c r="W103" s="682"/>
      <c r="X103" s="682"/>
      <c r="Y103" s="683"/>
      <c r="Z103" s="684"/>
      <c r="AA103" s="684"/>
      <c r="AB103" s="684"/>
    </row>
    <row r="104" spans="1:28">
      <c r="A104" s="643" t="s">
        <v>51</v>
      </c>
      <c r="B104" s="1067">
        <v>91795</v>
      </c>
      <c r="C104" s="644">
        <v>17972</v>
      </c>
      <c r="D104" s="644">
        <v>17148</v>
      </c>
      <c r="E104" s="644">
        <v>6411</v>
      </c>
      <c r="F104" s="644">
        <v>2966</v>
      </c>
      <c r="G104" s="644">
        <v>1473</v>
      </c>
      <c r="H104" s="644">
        <v>14764</v>
      </c>
      <c r="I104" s="644">
        <v>6924</v>
      </c>
      <c r="J104" s="685"/>
      <c r="K104" s="686"/>
      <c r="L104" s="686"/>
      <c r="M104" s="686">
        <v>905</v>
      </c>
      <c r="N104" s="627"/>
      <c r="O104" s="627"/>
      <c r="P104" s="643" t="s">
        <v>51</v>
      </c>
      <c r="Q104" s="651"/>
      <c r="R104" s="649"/>
      <c r="S104" s="649"/>
      <c r="T104" s="649"/>
      <c r="U104" s="649"/>
      <c r="V104" s="649"/>
      <c r="W104" s="649"/>
      <c r="X104" s="649"/>
      <c r="Y104" s="658"/>
      <c r="Z104" s="651"/>
      <c r="AA104" s="651"/>
      <c r="AB104" s="651"/>
    </row>
    <row r="105" spans="1:28">
      <c r="A105" s="687"/>
      <c r="B105" s="1064"/>
      <c r="C105" s="688">
        <v>0.19578408410044121</v>
      </c>
      <c r="D105" s="688">
        <v>0.18680756032463641</v>
      </c>
      <c r="E105" s="688">
        <v>6.9840405250830656E-2</v>
      </c>
      <c r="F105" s="688">
        <v>3.2311128057083721E-2</v>
      </c>
      <c r="G105" s="688">
        <v>1.6046625633204421E-2</v>
      </c>
      <c r="H105" s="688">
        <v>0.16083664687619151</v>
      </c>
      <c r="I105" s="688">
        <v>7.5428944931641151E-2</v>
      </c>
      <c r="J105" s="689">
        <v>0</v>
      </c>
      <c r="K105" s="690"/>
      <c r="L105" s="690"/>
      <c r="M105" s="690">
        <v>9.8589247780380192E-3</v>
      </c>
      <c r="N105" s="627"/>
      <c r="O105" s="627"/>
      <c r="P105" s="687"/>
      <c r="Q105" s="642"/>
      <c r="R105" s="688"/>
      <c r="S105" s="688"/>
      <c r="T105" s="688"/>
      <c r="U105" s="688"/>
      <c r="V105" s="688"/>
      <c r="W105" s="688"/>
      <c r="X105" s="688"/>
      <c r="Y105" s="689"/>
      <c r="Z105" s="690"/>
      <c r="AA105" s="690"/>
      <c r="AB105" s="690"/>
    </row>
    <row r="106" spans="1:28">
      <c r="A106" s="668" t="s">
        <v>350</v>
      </c>
      <c r="B106" s="691">
        <f>B102+B104</f>
        <v>2087361.25</v>
      </c>
      <c r="C106" s="692">
        <f t="shared" ref="C106:J106" si="48">C102+C104</f>
        <v>273516</v>
      </c>
      <c r="D106" s="693">
        <f t="shared" si="48"/>
        <v>259910</v>
      </c>
      <c r="E106" s="693">
        <f t="shared" si="48"/>
        <v>114962</v>
      </c>
      <c r="F106" s="693">
        <f t="shared" si="48"/>
        <v>57368</v>
      </c>
      <c r="G106" s="693">
        <f t="shared" si="48"/>
        <v>48914</v>
      </c>
      <c r="H106" s="693">
        <f t="shared" si="48"/>
        <v>159994</v>
      </c>
      <c r="I106" s="693">
        <f t="shared" si="48"/>
        <v>150975</v>
      </c>
      <c r="J106" s="694">
        <f t="shared" si="48"/>
        <v>74095</v>
      </c>
      <c r="K106" s="695"/>
      <c r="L106" s="695"/>
      <c r="M106" s="695">
        <f>M102+M104</f>
        <v>31504</v>
      </c>
      <c r="N106" s="627"/>
      <c r="O106" s="627"/>
      <c r="P106" s="668" t="s">
        <v>350</v>
      </c>
      <c r="Q106" s="696"/>
      <c r="R106" s="697"/>
      <c r="S106" s="698"/>
      <c r="T106" s="698"/>
      <c r="U106" s="698"/>
      <c r="V106" s="698"/>
      <c r="W106" s="698"/>
      <c r="X106" s="698"/>
      <c r="Y106" s="699"/>
      <c r="Z106" s="700"/>
      <c r="AA106" s="700"/>
      <c r="AB106" s="700"/>
    </row>
    <row r="107" spans="1:28" ht="15.75" thickBot="1">
      <c r="A107" s="701"/>
      <c r="B107" s="702"/>
      <c r="C107" s="703">
        <f>C106/$B106</f>
        <v>0.13103433821050381</v>
      </c>
      <c r="D107" s="703">
        <f t="shared" ref="D107:J107" si="49">D106/$B106</f>
        <v>0.12451606064834249</v>
      </c>
      <c r="E107" s="703">
        <f t="shared" si="49"/>
        <v>5.5075277458561618E-2</v>
      </c>
      <c r="F107" s="703">
        <f t="shared" si="49"/>
        <v>2.7483503394537003E-2</v>
      </c>
      <c r="G107" s="703">
        <f t="shared" si="49"/>
        <v>2.3433413837686219E-2</v>
      </c>
      <c r="H107" s="703">
        <f t="shared" si="49"/>
        <v>7.6648926964606623E-2</v>
      </c>
      <c r="I107" s="703">
        <f t="shared" si="49"/>
        <v>7.232816073403682E-2</v>
      </c>
      <c r="J107" s="704">
        <f t="shared" si="49"/>
        <v>3.5496970157896719E-2</v>
      </c>
      <c r="K107" s="705"/>
      <c r="L107" s="705"/>
      <c r="M107" s="705">
        <f>M106/$B106</f>
        <v>1.5092739697069686E-2</v>
      </c>
      <c r="N107" s="706"/>
      <c r="O107" s="627"/>
      <c r="P107" s="701"/>
      <c r="Q107" s="702"/>
      <c r="R107" s="703"/>
      <c r="S107" s="703"/>
      <c r="T107" s="703"/>
      <c r="U107" s="703"/>
      <c r="V107" s="703"/>
      <c r="W107" s="703"/>
      <c r="X107" s="703"/>
      <c r="Y107" s="704"/>
      <c r="Z107" s="705"/>
      <c r="AA107" s="705"/>
      <c r="AB107" s="705"/>
    </row>
    <row r="108" spans="1:28">
      <c r="A108" s="965"/>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row>
    <row r="109" spans="1:28">
      <c r="A109" s="965"/>
      <c r="B109" s="965"/>
      <c r="C109" s="965"/>
      <c r="D109" s="965"/>
      <c r="E109" s="965"/>
      <c r="F109" s="965"/>
      <c r="G109" s="965"/>
      <c r="H109" s="965"/>
      <c r="I109" s="965"/>
      <c r="J109" s="965"/>
      <c r="K109" s="965"/>
      <c r="L109" s="965"/>
      <c r="M109" s="965"/>
      <c r="N109" s="965"/>
      <c r="O109" s="965"/>
      <c r="P109" s="965"/>
      <c r="Q109" s="965"/>
      <c r="R109" s="965"/>
      <c r="S109" s="965"/>
      <c r="T109" s="965"/>
      <c r="U109" s="965"/>
      <c r="V109" s="965"/>
      <c r="W109" s="965"/>
      <c r="X109" s="965"/>
      <c r="Y109" s="965"/>
      <c r="Z109" s="965"/>
      <c r="AA109" s="965"/>
      <c r="AB109" s="965"/>
    </row>
    <row r="110" spans="1:28">
      <c r="A110" s="625" t="s">
        <v>324</v>
      </c>
      <c r="B110" s="626"/>
      <c r="C110" s="625">
        <v>2015</v>
      </c>
      <c r="D110" s="623"/>
      <c r="E110" s="623"/>
      <c r="F110" s="623"/>
      <c r="G110" s="623"/>
      <c r="H110" s="623"/>
      <c r="I110" s="623"/>
      <c r="J110" s="623"/>
      <c r="K110" s="623"/>
      <c r="L110" s="623"/>
      <c r="M110" s="623"/>
      <c r="N110" s="623"/>
      <c r="O110" s="627"/>
      <c r="P110" s="625" t="s">
        <v>324</v>
      </c>
      <c r="Q110" s="625"/>
      <c r="R110" s="625">
        <v>2015</v>
      </c>
      <c r="S110" s="623"/>
      <c r="T110" s="623"/>
      <c r="U110" s="623"/>
      <c r="V110" s="627"/>
      <c r="W110" s="627"/>
      <c r="X110" s="627"/>
      <c r="Y110" s="627"/>
      <c r="Z110" s="627"/>
      <c r="AA110" s="627"/>
      <c r="AB110" s="627"/>
    </row>
    <row r="111" spans="1:28" ht="15.75" thickBot="1">
      <c r="A111" s="627"/>
      <c r="B111" s="964"/>
      <c r="C111" s="627"/>
      <c r="D111" s="627"/>
      <c r="E111" s="627"/>
      <c r="F111" s="627"/>
      <c r="G111" s="627"/>
      <c r="H111" s="627"/>
      <c r="I111" s="627"/>
      <c r="J111" s="627"/>
      <c r="K111" s="627"/>
      <c r="L111" s="627"/>
      <c r="M111" s="627"/>
      <c r="N111" s="627"/>
      <c r="O111" s="627"/>
      <c r="P111" s="627"/>
      <c r="Q111" s="627"/>
      <c r="R111" s="627"/>
      <c r="S111" s="627"/>
      <c r="T111" s="627"/>
      <c r="U111" s="627"/>
      <c r="V111" s="627"/>
      <c r="W111" s="627"/>
      <c r="X111" s="627"/>
      <c r="Y111" s="627"/>
      <c r="Z111" s="627"/>
      <c r="AA111" s="627"/>
      <c r="AB111" s="627"/>
    </row>
    <row r="112" spans="1:28">
      <c r="A112" s="629" t="s">
        <v>325</v>
      </c>
      <c r="B112" s="630" t="s">
        <v>326</v>
      </c>
      <c r="C112" s="631"/>
      <c r="D112" s="631"/>
      <c r="E112" s="631" t="s">
        <v>327</v>
      </c>
      <c r="F112" s="631"/>
      <c r="G112" s="631"/>
      <c r="H112" s="631"/>
      <c r="I112" s="631"/>
      <c r="J112" s="631"/>
      <c r="K112" s="629" t="s">
        <v>328</v>
      </c>
      <c r="L112" s="629" t="s">
        <v>329</v>
      </c>
      <c r="M112" s="629" t="s">
        <v>330</v>
      </c>
      <c r="N112" s="627"/>
      <c r="O112" s="627"/>
      <c r="P112" s="629" t="s">
        <v>325</v>
      </c>
      <c r="Q112" s="632" t="s">
        <v>326</v>
      </c>
      <c r="R112" s="631"/>
      <c r="S112" s="631"/>
      <c r="T112" s="631" t="s">
        <v>331</v>
      </c>
      <c r="U112" s="631"/>
      <c r="V112" s="631"/>
      <c r="W112" s="631"/>
      <c r="X112" s="631"/>
      <c r="Y112" s="631"/>
      <c r="Z112" s="629" t="s">
        <v>328</v>
      </c>
      <c r="AA112" s="629" t="s">
        <v>329</v>
      </c>
      <c r="AB112" s="629" t="s">
        <v>330</v>
      </c>
    </row>
    <row r="113" spans="1:28">
      <c r="A113" s="633" t="s">
        <v>332</v>
      </c>
      <c r="B113" s="1063" t="s">
        <v>333</v>
      </c>
      <c r="C113" s="634"/>
      <c r="D113" s="634"/>
      <c r="E113" s="634" t="s">
        <v>334</v>
      </c>
      <c r="F113" s="634"/>
      <c r="G113" s="634"/>
      <c r="H113" s="634"/>
      <c r="I113" s="634"/>
      <c r="J113" s="634"/>
      <c r="K113" s="635" t="s">
        <v>335</v>
      </c>
      <c r="L113" s="635" t="s">
        <v>335</v>
      </c>
      <c r="M113" s="635" t="s">
        <v>335</v>
      </c>
      <c r="N113" s="627"/>
      <c r="O113" s="627"/>
      <c r="P113" s="633" t="s">
        <v>332</v>
      </c>
      <c r="Q113" s="636" t="s">
        <v>333</v>
      </c>
      <c r="R113" s="634"/>
      <c r="S113" s="634"/>
      <c r="T113" s="634" t="s">
        <v>336</v>
      </c>
      <c r="U113" s="634"/>
      <c r="V113" s="634"/>
      <c r="W113" s="634"/>
      <c r="X113" s="634"/>
      <c r="Y113" s="634"/>
      <c r="Z113" s="635" t="s">
        <v>335</v>
      </c>
      <c r="AA113" s="635" t="s">
        <v>335</v>
      </c>
      <c r="AB113" s="635" t="s">
        <v>335</v>
      </c>
    </row>
    <row r="114" spans="1:28">
      <c r="A114" s="633" t="s">
        <v>337</v>
      </c>
      <c r="B114" s="1063" t="s">
        <v>53</v>
      </c>
      <c r="C114" s="637" t="s">
        <v>338</v>
      </c>
      <c r="D114" s="637" t="s">
        <v>339</v>
      </c>
      <c r="E114" s="637"/>
      <c r="F114" s="637"/>
      <c r="G114" s="637"/>
      <c r="H114" s="637"/>
      <c r="I114" s="637"/>
      <c r="J114" s="638" t="s">
        <v>164</v>
      </c>
      <c r="K114" s="633" t="s">
        <v>340</v>
      </c>
      <c r="L114" s="633" t="s">
        <v>341</v>
      </c>
      <c r="M114" s="633" t="s">
        <v>341</v>
      </c>
      <c r="N114" s="627"/>
      <c r="O114" s="627"/>
      <c r="P114" s="633" t="s">
        <v>337</v>
      </c>
      <c r="Q114" s="636" t="s">
        <v>53</v>
      </c>
      <c r="R114" s="637" t="s">
        <v>338</v>
      </c>
      <c r="S114" s="637" t="s">
        <v>357</v>
      </c>
      <c r="T114" s="637"/>
      <c r="U114" s="637"/>
      <c r="V114" s="637"/>
      <c r="W114" s="637"/>
      <c r="X114" s="637"/>
      <c r="Y114" s="638" t="s">
        <v>164</v>
      </c>
      <c r="Z114" s="633" t="s">
        <v>340</v>
      </c>
      <c r="AA114" s="633" t="s">
        <v>341</v>
      </c>
      <c r="AB114" s="633" t="s">
        <v>341</v>
      </c>
    </row>
    <row r="115" spans="1:28">
      <c r="A115" s="639"/>
      <c r="B115" s="1064"/>
      <c r="C115" s="640" t="s">
        <v>342</v>
      </c>
      <c r="D115" s="640" t="s">
        <v>343</v>
      </c>
      <c r="E115" s="640" t="s">
        <v>127</v>
      </c>
      <c r="F115" s="640" t="s">
        <v>56</v>
      </c>
      <c r="G115" s="640" t="s">
        <v>344</v>
      </c>
      <c r="H115" s="640" t="s">
        <v>345</v>
      </c>
      <c r="I115" s="640" t="s">
        <v>122</v>
      </c>
      <c r="J115" s="634" t="s">
        <v>346</v>
      </c>
      <c r="K115" s="641" t="s">
        <v>361</v>
      </c>
      <c r="L115" s="641" t="s">
        <v>362</v>
      </c>
      <c r="M115" s="641" t="s">
        <v>363</v>
      </c>
      <c r="N115" s="627"/>
      <c r="O115" s="627"/>
      <c r="P115" s="639"/>
      <c r="Q115" s="642"/>
      <c r="R115" s="640" t="s">
        <v>342</v>
      </c>
      <c r="S115" s="640" t="s">
        <v>358</v>
      </c>
      <c r="T115" s="640" t="s">
        <v>127</v>
      </c>
      <c r="U115" s="640" t="s">
        <v>56</v>
      </c>
      <c r="V115" s="640" t="s">
        <v>344</v>
      </c>
      <c r="W115" s="640" t="s">
        <v>345</v>
      </c>
      <c r="X115" s="640" t="s">
        <v>122</v>
      </c>
      <c r="Y115" s="634" t="s">
        <v>346</v>
      </c>
      <c r="Z115" s="641" t="s">
        <v>361</v>
      </c>
      <c r="AA115" s="641" t="s">
        <v>362</v>
      </c>
      <c r="AB115" s="641" t="s">
        <v>363</v>
      </c>
    </row>
    <row r="116" spans="1:28">
      <c r="A116" s="643" t="s">
        <v>127</v>
      </c>
      <c r="B116" s="1065">
        <v>127357</v>
      </c>
      <c r="C116" s="644">
        <v>51878</v>
      </c>
      <c r="D116" s="644">
        <v>50368</v>
      </c>
      <c r="E116" s="645"/>
      <c r="F116" s="644">
        <v>16227</v>
      </c>
      <c r="G116" s="644">
        <v>9994</v>
      </c>
      <c r="H116" s="644">
        <v>45560</v>
      </c>
      <c r="I116" s="644">
        <v>32461</v>
      </c>
      <c r="J116" s="646">
        <v>14897</v>
      </c>
      <c r="K116" s="647"/>
      <c r="L116" s="647"/>
      <c r="M116" s="647">
        <v>6955</v>
      </c>
      <c r="N116" s="627"/>
      <c r="O116" s="627"/>
      <c r="P116" s="643" t="s">
        <v>127</v>
      </c>
      <c r="Q116" s="1070">
        <v>0.32170983927071145</v>
      </c>
      <c r="R116" s="1071">
        <v>0.69293342071783803</v>
      </c>
      <c r="S116" s="1071">
        <v>0.69794313850063527</v>
      </c>
      <c r="T116" s="1072"/>
      <c r="U116" s="1071">
        <v>0.85203672890860915</v>
      </c>
      <c r="V116" s="1071">
        <v>0.86551931158695217</v>
      </c>
      <c r="W116" s="1071">
        <v>0.69589552238805974</v>
      </c>
      <c r="X116" s="1071">
        <v>0.74859061643202618</v>
      </c>
      <c r="Y116" s="1073">
        <v>0.77190038262737459</v>
      </c>
      <c r="Z116" s="708"/>
      <c r="AA116" s="708"/>
      <c r="AB116" s="1074">
        <v>0.86671459381739757</v>
      </c>
    </row>
    <row r="117" spans="1:28">
      <c r="A117" s="652"/>
      <c r="B117" s="1066"/>
      <c r="C117" s="653">
        <v>0.40734313779376086</v>
      </c>
      <c r="D117" s="653">
        <v>0.39548670273326164</v>
      </c>
      <c r="E117" s="653">
        <v>0</v>
      </c>
      <c r="F117" s="653">
        <v>0.12741349120974899</v>
      </c>
      <c r="G117" s="653">
        <v>7.8472325824257796E-2</v>
      </c>
      <c r="H117" s="653">
        <v>0.35773455718963232</v>
      </c>
      <c r="I117" s="653">
        <v>0.25488194602573866</v>
      </c>
      <c r="J117" s="654">
        <v>0.11697040602401125</v>
      </c>
      <c r="K117" s="654"/>
      <c r="L117" s="654"/>
      <c r="M117" s="654">
        <v>5.4610268772034516E-2</v>
      </c>
      <c r="N117" s="627"/>
      <c r="O117" s="627"/>
      <c r="P117" s="652"/>
      <c r="Q117" s="709"/>
      <c r="R117" s="710"/>
      <c r="S117" s="710"/>
      <c r="T117" s="710"/>
      <c r="U117" s="710"/>
      <c r="V117" s="710"/>
      <c r="W117" s="710"/>
      <c r="X117" s="710"/>
      <c r="Y117" s="1075"/>
      <c r="Z117" s="712"/>
      <c r="AA117" s="712"/>
      <c r="AB117" s="712"/>
    </row>
    <row r="118" spans="1:28">
      <c r="A118" s="643" t="s">
        <v>56</v>
      </c>
      <c r="B118" s="1067">
        <v>237574</v>
      </c>
      <c r="C118" s="644">
        <v>65956</v>
      </c>
      <c r="D118" s="644">
        <v>64131</v>
      </c>
      <c r="E118" s="644">
        <v>25164</v>
      </c>
      <c r="F118" s="658"/>
      <c r="G118" s="644">
        <v>14832</v>
      </c>
      <c r="H118" s="644">
        <v>54562</v>
      </c>
      <c r="I118" s="644">
        <v>39296</v>
      </c>
      <c r="J118" s="646">
        <v>13574</v>
      </c>
      <c r="K118" s="647"/>
      <c r="L118" s="647"/>
      <c r="M118" s="647">
        <v>6465</v>
      </c>
      <c r="N118" s="627"/>
      <c r="O118" s="627"/>
      <c r="P118" s="643" t="s">
        <v>56</v>
      </c>
      <c r="Q118" s="1076">
        <v>0.14480540799919184</v>
      </c>
      <c r="R118" s="1071">
        <v>0.46769058159985444</v>
      </c>
      <c r="S118" s="1071">
        <v>0.47881679686890893</v>
      </c>
      <c r="T118" s="1071">
        <v>0.61603878556668257</v>
      </c>
      <c r="U118" s="1071"/>
      <c r="V118" s="1071">
        <v>0.66005933117583604</v>
      </c>
      <c r="W118" s="1071">
        <v>0.47745683809244527</v>
      </c>
      <c r="X118" s="1071">
        <v>0.58652280130293155</v>
      </c>
      <c r="Y118" s="1073">
        <v>0.26381317224104905</v>
      </c>
      <c r="Z118" s="708"/>
      <c r="AA118" s="708"/>
      <c r="AB118" s="1074">
        <v>0.79798917246713075</v>
      </c>
    </row>
    <row r="119" spans="1:28">
      <c r="A119" s="652"/>
      <c r="B119" s="1066"/>
      <c r="C119" s="653">
        <v>0.27762297221076382</v>
      </c>
      <c r="D119" s="653">
        <v>0.26994115517691331</v>
      </c>
      <c r="E119" s="653">
        <v>0.10592068155606253</v>
      </c>
      <c r="F119" s="653">
        <v>0</v>
      </c>
      <c r="G119" s="653">
        <v>6.2431074107436001E-2</v>
      </c>
      <c r="H119" s="653">
        <v>0.22966317863065824</v>
      </c>
      <c r="I119" s="653">
        <v>0.16540530529435038</v>
      </c>
      <c r="J119" s="654">
        <v>5.7135881872595488E-2</v>
      </c>
      <c r="K119" s="654"/>
      <c r="L119" s="654"/>
      <c r="M119" s="654">
        <v>2.7212573766489598E-2</v>
      </c>
      <c r="N119" s="627"/>
      <c r="O119" s="627"/>
      <c r="P119" s="652"/>
      <c r="Q119" s="709"/>
      <c r="R119" s="710"/>
      <c r="S119" s="710"/>
      <c r="T119" s="710"/>
      <c r="U119" s="710"/>
      <c r="V119" s="710"/>
      <c r="W119" s="710"/>
      <c r="X119" s="710"/>
      <c r="Y119" s="1075"/>
      <c r="Z119" s="712"/>
      <c r="AA119" s="712"/>
      <c r="AB119" s="712"/>
    </row>
    <row r="120" spans="1:28">
      <c r="A120" s="643" t="s">
        <v>344</v>
      </c>
      <c r="B120" s="1067">
        <v>166376</v>
      </c>
      <c r="C120" s="644">
        <v>26861</v>
      </c>
      <c r="D120" s="644">
        <v>26610</v>
      </c>
      <c r="E120" s="644">
        <v>8408</v>
      </c>
      <c r="F120" s="644">
        <v>4945</v>
      </c>
      <c r="G120" s="658"/>
      <c r="H120" s="644">
        <v>24050</v>
      </c>
      <c r="I120" s="644">
        <v>14276</v>
      </c>
      <c r="J120" s="646">
        <v>2707</v>
      </c>
      <c r="K120" s="647"/>
      <c r="L120" s="647"/>
      <c r="M120" s="647">
        <v>2649</v>
      </c>
      <c r="N120" s="627"/>
      <c r="O120" s="627"/>
      <c r="P120" s="643" t="s">
        <v>344</v>
      </c>
      <c r="Q120" s="1076">
        <v>5.4923787084675671E-2</v>
      </c>
      <c r="R120" s="1071">
        <v>0.33896727597632254</v>
      </c>
      <c r="S120" s="1071">
        <v>0.33810597519729424</v>
      </c>
      <c r="T120" s="1071">
        <v>0.48727402473834441</v>
      </c>
      <c r="U120" s="1071">
        <v>0.64651162790697669</v>
      </c>
      <c r="V120" s="1071"/>
      <c r="W120" s="1071">
        <v>0.2928066528066528</v>
      </c>
      <c r="X120" s="1071">
        <v>0.41510226954328944</v>
      </c>
      <c r="Y120" s="1073">
        <v>0.39933505725895824</v>
      </c>
      <c r="Z120" s="708"/>
      <c r="AA120" s="708"/>
      <c r="AB120" s="1074">
        <v>0.65722914307285774</v>
      </c>
    </row>
    <row r="121" spans="1:28">
      <c r="A121" s="652"/>
      <c r="B121" s="1066"/>
      <c r="C121" s="653">
        <v>0.16144756455257969</v>
      </c>
      <c r="D121" s="653">
        <v>0.15993893350002406</v>
      </c>
      <c r="E121" s="653">
        <v>5.053613501947396E-2</v>
      </c>
      <c r="F121" s="653">
        <v>2.9721834880030773E-2</v>
      </c>
      <c r="G121" s="653">
        <v>0</v>
      </c>
      <c r="H121" s="653">
        <v>0.14455209886041256</v>
      </c>
      <c r="I121" s="653">
        <v>8.5805645044958412E-2</v>
      </c>
      <c r="J121" s="654">
        <v>1.6270375534932924E-2</v>
      </c>
      <c r="K121" s="654"/>
      <c r="L121" s="654"/>
      <c r="M121" s="654">
        <v>1.5921767562629224E-2</v>
      </c>
      <c r="N121" s="627"/>
      <c r="O121" s="627"/>
      <c r="P121" s="652"/>
      <c r="Q121" s="709"/>
      <c r="R121" s="710"/>
      <c r="S121" s="710"/>
      <c r="T121" s="710"/>
      <c r="U121" s="710"/>
      <c r="V121" s="713"/>
      <c r="W121" s="710"/>
      <c r="X121" s="710"/>
      <c r="Y121" s="711"/>
      <c r="Z121" s="712"/>
      <c r="AA121" s="712"/>
      <c r="AB121" s="712"/>
    </row>
    <row r="122" spans="1:28">
      <c r="A122" s="643" t="s">
        <v>347</v>
      </c>
      <c r="B122" s="1067">
        <v>260274</v>
      </c>
      <c r="C122" s="644">
        <v>84592</v>
      </c>
      <c r="D122" s="644">
        <v>76798</v>
      </c>
      <c r="E122" s="644">
        <v>63796</v>
      </c>
      <c r="F122" s="644">
        <v>29085</v>
      </c>
      <c r="G122" s="644">
        <v>20092</v>
      </c>
      <c r="H122" s="658"/>
      <c r="I122" s="658">
        <v>52401</v>
      </c>
      <c r="J122" s="646">
        <v>38100</v>
      </c>
      <c r="K122" s="647"/>
      <c r="L122" s="647"/>
      <c r="M122" s="647">
        <v>12940</v>
      </c>
      <c r="N122" s="965"/>
      <c r="O122" s="627"/>
      <c r="P122" s="643" t="s">
        <v>347</v>
      </c>
      <c r="Q122" s="1076">
        <v>0.24517239524501103</v>
      </c>
      <c r="R122" s="1071">
        <v>0.66825468129373933</v>
      </c>
      <c r="S122" s="1071">
        <v>0.70077345764212606</v>
      </c>
      <c r="T122" s="1071">
        <v>0.74760173051601986</v>
      </c>
      <c r="U122" s="1071">
        <v>0.85054151624548735</v>
      </c>
      <c r="V122" s="1071">
        <v>0.81818634282301417</v>
      </c>
      <c r="W122" s="1071"/>
      <c r="X122" s="1071">
        <v>0.71162764069387985</v>
      </c>
      <c r="Y122" s="1073">
        <v>0.67679790026246722</v>
      </c>
      <c r="Z122" s="708"/>
      <c r="AA122" s="708"/>
      <c r="AB122" s="1074">
        <v>0.91993817619783613</v>
      </c>
    </row>
    <row r="123" spans="1:28">
      <c r="A123" s="652"/>
      <c r="B123" s="1066"/>
      <c r="C123" s="653">
        <v>0.32501133420933326</v>
      </c>
      <c r="D123" s="653">
        <v>0.29506596894042431</v>
      </c>
      <c r="E123" s="653">
        <v>0.24511092156727141</v>
      </c>
      <c r="F123" s="653">
        <v>0.11174761981604002</v>
      </c>
      <c r="G123" s="653">
        <v>7.7195570821518858E-2</v>
      </c>
      <c r="H123" s="653"/>
      <c r="I123" s="653">
        <v>0.20133013670209088</v>
      </c>
      <c r="J123" s="654">
        <v>0.14638419511745315</v>
      </c>
      <c r="K123" s="654"/>
      <c r="L123" s="654"/>
      <c r="M123" s="666">
        <v>4.9716836871911911E-2</v>
      </c>
      <c r="N123" s="965"/>
      <c r="O123" s="627"/>
      <c r="P123" s="652"/>
      <c r="Q123" s="714"/>
      <c r="R123" s="710"/>
      <c r="S123" s="710"/>
      <c r="T123" s="710"/>
      <c r="U123" s="710"/>
      <c r="V123" s="710"/>
      <c r="W123" s="715"/>
      <c r="X123" s="710"/>
      <c r="Y123" s="711"/>
      <c r="Z123" s="712"/>
      <c r="AA123" s="712"/>
      <c r="AB123" s="712"/>
    </row>
    <row r="124" spans="1:28">
      <c r="A124" s="643" t="s">
        <v>122</v>
      </c>
      <c r="B124" s="1067">
        <v>965137</v>
      </c>
      <c r="C124" s="644">
        <v>22564</v>
      </c>
      <c r="D124" s="644">
        <v>20688</v>
      </c>
      <c r="E124" s="644">
        <v>8137</v>
      </c>
      <c r="F124" s="644">
        <v>4160</v>
      </c>
      <c r="G124" s="644">
        <v>2940</v>
      </c>
      <c r="H124" s="658">
        <v>19160</v>
      </c>
      <c r="I124" s="658"/>
      <c r="J124" s="646">
        <v>5629</v>
      </c>
      <c r="K124" s="647"/>
      <c r="L124" s="647"/>
      <c r="M124" s="647">
        <v>1952</v>
      </c>
      <c r="N124" s="627"/>
      <c r="O124" s="627"/>
      <c r="P124" s="643" t="s">
        <v>122</v>
      </c>
      <c r="Q124" s="1076">
        <v>1.3268582595009827E-2</v>
      </c>
      <c r="R124" s="1071">
        <v>0.55570820776458074</v>
      </c>
      <c r="S124" s="1071">
        <v>0.59208236658932711</v>
      </c>
      <c r="T124" s="1071">
        <v>0.72164188275777319</v>
      </c>
      <c r="U124" s="1071">
        <v>0.83509615384615388</v>
      </c>
      <c r="V124" s="1071">
        <v>0.84285714285714286</v>
      </c>
      <c r="W124" s="1071">
        <v>0.56205636743215026</v>
      </c>
      <c r="X124" s="1071"/>
      <c r="Y124" s="1073">
        <v>0.43897672766033041</v>
      </c>
      <c r="Z124" s="708"/>
      <c r="AA124" s="708"/>
      <c r="AB124" s="1074">
        <v>0.71292775665399244</v>
      </c>
    </row>
    <row r="125" spans="1:28">
      <c r="A125" s="662"/>
      <c r="B125" s="1069"/>
      <c r="C125" s="663">
        <v>2.3379064319366059E-2</v>
      </c>
      <c r="D125" s="664">
        <v>2.1435298822861416E-2</v>
      </c>
      <c r="E125" s="664">
        <v>8.4309274227389475E-3</v>
      </c>
      <c r="F125" s="664">
        <v>4.3102689048290553E-3</v>
      </c>
      <c r="G125" s="664">
        <v>3.0461996587013034E-3</v>
      </c>
      <c r="H125" s="664">
        <v>1.9852103898203053E-2</v>
      </c>
      <c r="I125" s="664"/>
      <c r="J125" s="707">
        <v>5.8323326118468154E-3</v>
      </c>
      <c r="K125" s="666"/>
      <c r="L125" s="666"/>
      <c r="M125" s="657">
        <v>2.0225107938044028E-3</v>
      </c>
      <c r="N125" s="627"/>
      <c r="O125" s="627"/>
      <c r="P125" s="662"/>
      <c r="Q125" s="716"/>
      <c r="R125" s="717"/>
      <c r="S125" s="717"/>
      <c r="T125" s="717"/>
      <c r="U125" s="717"/>
      <c r="V125" s="717"/>
      <c r="W125" s="717"/>
      <c r="X125" s="717"/>
      <c r="Y125" s="718"/>
      <c r="Z125" s="719"/>
      <c r="AA125" s="719"/>
      <c r="AB125" s="719"/>
    </row>
    <row r="126" spans="1:28">
      <c r="A126" s="668" t="s">
        <v>348</v>
      </c>
      <c r="B126" s="669">
        <v>1756718</v>
      </c>
      <c r="C126" s="670">
        <v>251851</v>
      </c>
      <c r="D126" s="670">
        <v>238595</v>
      </c>
      <c r="E126" s="670">
        <v>105505</v>
      </c>
      <c r="F126" s="670">
        <v>54417</v>
      </c>
      <c r="G126" s="670">
        <v>47858</v>
      </c>
      <c r="H126" s="670">
        <v>143332</v>
      </c>
      <c r="I126" s="670">
        <v>138434</v>
      </c>
      <c r="J126" s="671">
        <v>74907</v>
      </c>
      <c r="K126" s="672"/>
      <c r="L126" s="672"/>
      <c r="M126" s="672">
        <v>30961</v>
      </c>
      <c r="N126" s="627"/>
      <c r="O126" s="627"/>
      <c r="P126" s="668" t="s">
        <v>348</v>
      </c>
      <c r="Q126" s="720"/>
      <c r="R126" s="721"/>
      <c r="S126" s="721"/>
      <c r="T126" s="721"/>
      <c r="U126" s="721"/>
      <c r="V126" s="721"/>
      <c r="W126" s="721"/>
      <c r="X126" s="721"/>
      <c r="Y126" s="722"/>
      <c r="Z126" s="720"/>
      <c r="AA126" s="720"/>
      <c r="AB126" s="720"/>
    </row>
    <row r="127" spans="1:28">
      <c r="A127" s="676" t="s">
        <v>349</v>
      </c>
      <c r="B127" s="677"/>
      <c r="C127" s="678">
        <v>0.14336450130299797</v>
      </c>
      <c r="D127" s="678">
        <v>0.13581861175214235</v>
      </c>
      <c r="E127" s="678">
        <v>6.005801727995045E-2</v>
      </c>
      <c r="F127" s="678">
        <v>3.0976514158789287E-2</v>
      </c>
      <c r="G127" s="678">
        <v>2.7242847172966864E-2</v>
      </c>
      <c r="H127" s="678">
        <v>8.1590784633617922E-2</v>
      </c>
      <c r="I127" s="678">
        <v>7.8802630814962901E-2</v>
      </c>
      <c r="J127" s="679">
        <v>4.2640309941607023E-2</v>
      </c>
      <c r="K127" s="680"/>
      <c r="L127" s="680"/>
      <c r="M127" s="680">
        <v>1.7624342666267438E-2</v>
      </c>
      <c r="N127" s="627"/>
      <c r="O127" s="627"/>
      <c r="P127" s="676" t="s">
        <v>349</v>
      </c>
      <c r="Q127" s="723"/>
      <c r="R127" s="724"/>
      <c r="S127" s="724"/>
      <c r="T127" s="724"/>
      <c r="U127" s="724"/>
      <c r="V127" s="724"/>
      <c r="W127" s="724"/>
      <c r="X127" s="724"/>
      <c r="Y127" s="725"/>
      <c r="Z127" s="726"/>
      <c r="AA127" s="726"/>
      <c r="AB127" s="726"/>
    </row>
    <row r="128" spans="1:28">
      <c r="A128" s="643" t="s">
        <v>51</v>
      </c>
      <c r="B128" s="1067">
        <v>88691</v>
      </c>
      <c r="C128" s="644">
        <v>17883</v>
      </c>
      <c r="D128" s="644">
        <v>17096</v>
      </c>
      <c r="E128" s="644">
        <v>6278</v>
      </c>
      <c r="F128" s="644">
        <v>2846</v>
      </c>
      <c r="G128" s="644">
        <v>1526</v>
      </c>
      <c r="H128" s="644">
        <v>14679</v>
      </c>
      <c r="I128" s="644">
        <v>6988</v>
      </c>
      <c r="J128" s="685"/>
      <c r="K128" s="686"/>
      <c r="L128" s="686"/>
      <c r="M128" s="686">
        <v>878</v>
      </c>
      <c r="N128" s="627"/>
      <c r="O128" s="627"/>
      <c r="P128" s="643" t="s">
        <v>51</v>
      </c>
      <c r="Q128" s="708"/>
      <c r="R128" s="727"/>
      <c r="S128" s="727"/>
      <c r="T128" s="727"/>
      <c r="U128" s="727"/>
      <c r="V128" s="727"/>
      <c r="W128" s="727"/>
      <c r="X128" s="727"/>
      <c r="Y128" s="728"/>
      <c r="Z128" s="708"/>
      <c r="AA128" s="708"/>
      <c r="AB128" s="708"/>
    </row>
    <row r="129" spans="1:28">
      <c r="A129" s="687"/>
      <c r="B129" s="1064"/>
      <c r="C129" s="688">
        <v>0.20163263465289602</v>
      </c>
      <c r="D129" s="688">
        <v>0.19275913001319187</v>
      </c>
      <c r="E129" s="688">
        <v>7.0785085296140526E-2</v>
      </c>
      <c r="F129" s="688">
        <v>3.2088937998218534E-2</v>
      </c>
      <c r="G129" s="688">
        <v>1.7205804422094687E-2</v>
      </c>
      <c r="H129" s="688">
        <v>0.16550721042721359</v>
      </c>
      <c r="I129" s="688">
        <v>7.8790407143904118E-2</v>
      </c>
      <c r="J129" s="689">
        <v>0</v>
      </c>
      <c r="K129" s="690"/>
      <c r="L129" s="690"/>
      <c r="M129" s="690">
        <v>9.8995388483611637E-3</v>
      </c>
      <c r="N129" s="627"/>
      <c r="O129" s="627"/>
      <c r="P129" s="687"/>
      <c r="Q129" s="729"/>
      <c r="R129" s="730"/>
      <c r="S129" s="730"/>
      <c r="T129" s="730"/>
      <c r="U129" s="730"/>
      <c r="V129" s="730"/>
      <c r="W129" s="730"/>
      <c r="X129" s="730"/>
      <c r="Y129" s="731"/>
      <c r="Z129" s="732"/>
      <c r="AA129" s="732"/>
      <c r="AB129" s="732"/>
    </row>
    <row r="130" spans="1:28">
      <c r="A130" s="668" t="s">
        <v>350</v>
      </c>
      <c r="B130" s="691">
        <v>1845409</v>
      </c>
      <c r="C130" s="692">
        <v>269734</v>
      </c>
      <c r="D130" s="693">
        <v>255691</v>
      </c>
      <c r="E130" s="693">
        <v>111783</v>
      </c>
      <c r="F130" s="693">
        <v>57263</v>
      </c>
      <c r="G130" s="693">
        <v>49384</v>
      </c>
      <c r="H130" s="693">
        <v>158011</v>
      </c>
      <c r="I130" s="693">
        <v>145422</v>
      </c>
      <c r="J130" s="694">
        <v>74907</v>
      </c>
      <c r="K130" s="695"/>
      <c r="L130" s="695"/>
      <c r="M130" s="695">
        <v>31839</v>
      </c>
      <c r="N130" s="627"/>
      <c r="O130" s="627"/>
      <c r="P130" s="668" t="s">
        <v>350</v>
      </c>
      <c r="Q130" s="733"/>
      <c r="R130" s="734"/>
      <c r="S130" s="735"/>
      <c r="T130" s="735"/>
      <c r="U130" s="735"/>
      <c r="V130" s="735"/>
      <c r="W130" s="735"/>
      <c r="X130" s="735"/>
      <c r="Y130" s="736"/>
      <c r="Z130" s="737"/>
      <c r="AA130" s="737"/>
      <c r="AB130" s="737"/>
    </row>
    <row r="131" spans="1:28" ht="15.75" thickBot="1">
      <c r="A131" s="701"/>
      <c r="B131" s="702"/>
      <c r="C131" s="703">
        <v>0.14616488810881489</v>
      </c>
      <c r="D131" s="703">
        <v>0.13855519291387439</v>
      </c>
      <c r="E131" s="703">
        <v>6.0573563909138844E-2</v>
      </c>
      <c r="F131" s="703">
        <v>3.1029977636393882E-2</v>
      </c>
      <c r="G131" s="703">
        <v>2.6760463398628705E-2</v>
      </c>
      <c r="H131" s="703">
        <v>8.5623837317364337E-2</v>
      </c>
      <c r="I131" s="703">
        <v>7.8802043341069647E-2</v>
      </c>
      <c r="J131" s="704">
        <v>4.0591001777925649E-2</v>
      </c>
      <c r="K131" s="705"/>
      <c r="L131" s="705"/>
      <c r="M131" s="705">
        <v>1.7253085901282588E-2</v>
      </c>
      <c r="N131" s="706"/>
      <c r="O131" s="627"/>
      <c r="P131" s="701"/>
      <c r="Q131" s="702"/>
      <c r="R131" s="703"/>
      <c r="S131" s="703"/>
      <c r="T131" s="703"/>
      <c r="U131" s="703"/>
      <c r="V131" s="703"/>
      <c r="W131" s="703"/>
      <c r="X131" s="703"/>
      <c r="Y131" s="704"/>
      <c r="Z131" s="705"/>
      <c r="AA131" s="705"/>
      <c r="AB131" s="705"/>
    </row>
    <row r="132" spans="1:28">
      <c r="A132" s="623"/>
      <c r="B132" s="964"/>
      <c r="C132" s="623"/>
      <c r="D132" s="623"/>
      <c r="E132" s="623"/>
      <c r="F132" s="623"/>
      <c r="G132" s="623"/>
      <c r="H132" s="965"/>
      <c r="I132" s="965"/>
      <c r="J132" s="965"/>
      <c r="K132" s="965"/>
      <c r="L132" s="965"/>
      <c r="M132" s="965"/>
      <c r="N132" s="623"/>
      <c r="O132" s="623"/>
      <c r="P132" s="623"/>
      <c r="Q132" s="623"/>
      <c r="R132" s="623"/>
      <c r="S132" s="623"/>
      <c r="T132" s="623"/>
      <c r="U132" s="623"/>
      <c r="V132" s="965"/>
      <c r="W132" s="965"/>
      <c r="X132" s="965"/>
      <c r="Y132" s="965"/>
      <c r="Z132" s="965"/>
      <c r="AA132" s="965"/>
      <c r="AB132" s="965"/>
    </row>
    <row r="133" spans="1:28">
      <c r="A133" s="623"/>
      <c r="B133" s="964"/>
      <c r="C133" s="623"/>
      <c r="D133" s="623"/>
      <c r="E133" s="623"/>
      <c r="F133" s="623"/>
      <c r="G133" s="965"/>
      <c r="H133" s="965"/>
      <c r="I133" s="965"/>
      <c r="J133" s="965"/>
      <c r="K133" s="965"/>
      <c r="L133" s="965"/>
      <c r="M133" s="965"/>
      <c r="N133" s="965"/>
      <c r="O133" s="623"/>
      <c r="P133" s="623" t="s">
        <v>355</v>
      </c>
      <c r="Q133" s="623" t="s">
        <v>356</v>
      </c>
      <c r="R133" s="623"/>
      <c r="S133" s="623"/>
      <c r="T133" s="623"/>
      <c r="U133" s="623"/>
      <c r="V133" s="965"/>
      <c r="W133" s="965"/>
      <c r="X133" s="965"/>
      <c r="Y133" s="965"/>
      <c r="Z133" s="965"/>
      <c r="AA133" s="965"/>
      <c r="AB133" s="965"/>
    </row>
    <row r="134" spans="1:28">
      <c r="A134" s="625" t="s">
        <v>324</v>
      </c>
      <c r="B134" s="626"/>
      <c r="C134" s="625">
        <v>2014</v>
      </c>
      <c r="D134" s="623"/>
      <c r="E134" s="623"/>
      <c r="F134" s="623"/>
      <c r="G134" s="623"/>
      <c r="H134" s="623"/>
      <c r="I134" s="623"/>
      <c r="J134" s="623"/>
      <c r="K134" s="623"/>
      <c r="L134" s="623"/>
      <c r="M134" s="623"/>
      <c r="N134" s="623"/>
      <c r="O134" s="627"/>
      <c r="P134" s="625" t="s">
        <v>324</v>
      </c>
      <c r="Q134" s="625"/>
      <c r="R134" s="625">
        <v>2014</v>
      </c>
      <c r="S134" s="623"/>
      <c r="T134" s="623"/>
      <c r="U134" s="623"/>
      <c r="V134" s="627"/>
      <c r="W134" s="627"/>
      <c r="X134" s="627"/>
      <c r="Y134" s="627"/>
      <c r="Z134" s="627"/>
      <c r="AA134" s="627"/>
      <c r="AB134" s="627"/>
    </row>
    <row r="135" spans="1:28" ht="15.75" thickBot="1">
      <c r="A135" s="627"/>
      <c r="B135" s="964"/>
      <c r="C135" s="627"/>
      <c r="D135" s="627"/>
      <c r="E135" s="627"/>
      <c r="F135" s="627"/>
      <c r="G135" s="627"/>
      <c r="H135" s="627"/>
      <c r="I135" s="627"/>
      <c r="J135" s="627"/>
      <c r="K135" s="627"/>
      <c r="L135" s="627"/>
      <c r="M135" s="627"/>
      <c r="N135" s="627"/>
      <c r="O135" s="627"/>
      <c r="P135" s="627"/>
      <c r="Q135" s="627"/>
      <c r="R135" s="627"/>
      <c r="S135" s="627"/>
      <c r="T135" s="627"/>
      <c r="U135" s="627"/>
      <c r="V135" s="627"/>
      <c r="W135" s="627"/>
      <c r="X135" s="627"/>
      <c r="Y135" s="627"/>
      <c r="Z135" s="627"/>
      <c r="AA135" s="627"/>
      <c r="AB135" s="627"/>
    </row>
    <row r="136" spans="1:28">
      <c r="A136" s="629" t="s">
        <v>325</v>
      </c>
      <c r="B136" s="630" t="s">
        <v>326</v>
      </c>
      <c r="C136" s="631"/>
      <c r="D136" s="631"/>
      <c r="E136" s="631" t="s">
        <v>327</v>
      </c>
      <c r="F136" s="631"/>
      <c r="G136" s="631"/>
      <c r="H136" s="631"/>
      <c r="I136" s="631"/>
      <c r="J136" s="631"/>
      <c r="K136" s="629" t="s">
        <v>328</v>
      </c>
      <c r="L136" s="629" t="s">
        <v>329</v>
      </c>
      <c r="M136" s="629" t="s">
        <v>330</v>
      </c>
      <c r="N136" s="627"/>
      <c r="O136" s="627"/>
      <c r="P136" s="629" t="s">
        <v>325</v>
      </c>
      <c r="Q136" s="632" t="s">
        <v>326</v>
      </c>
      <c r="R136" s="631"/>
      <c r="S136" s="631"/>
      <c r="T136" s="631" t="s">
        <v>331</v>
      </c>
      <c r="U136" s="631"/>
      <c r="V136" s="631"/>
      <c r="W136" s="631"/>
      <c r="X136" s="631"/>
      <c r="Y136" s="631"/>
      <c r="Z136" s="629" t="s">
        <v>328</v>
      </c>
      <c r="AA136" s="629" t="s">
        <v>329</v>
      </c>
      <c r="AB136" s="629" t="s">
        <v>330</v>
      </c>
    </row>
    <row r="137" spans="1:28">
      <c r="A137" s="633" t="s">
        <v>332</v>
      </c>
      <c r="B137" s="1063" t="s">
        <v>333</v>
      </c>
      <c r="C137" s="634"/>
      <c r="D137" s="634"/>
      <c r="E137" s="634" t="s">
        <v>334</v>
      </c>
      <c r="F137" s="634"/>
      <c r="G137" s="634"/>
      <c r="H137" s="634"/>
      <c r="I137" s="634"/>
      <c r="J137" s="634"/>
      <c r="K137" s="635" t="s">
        <v>335</v>
      </c>
      <c r="L137" s="635" t="s">
        <v>335</v>
      </c>
      <c r="M137" s="635" t="s">
        <v>335</v>
      </c>
      <c r="N137" s="627"/>
      <c r="O137" s="627"/>
      <c r="P137" s="633" t="s">
        <v>332</v>
      </c>
      <c r="Q137" s="636" t="s">
        <v>333</v>
      </c>
      <c r="R137" s="634"/>
      <c r="S137" s="634"/>
      <c r="T137" s="634" t="s">
        <v>336</v>
      </c>
      <c r="U137" s="634"/>
      <c r="V137" s="634"/>
      <c r="W137" s="634"/>
      <c r="X137" s="634"/>
      <c r="Y137" s="634"/>
      <c r="Z137" s="635" t="s">
        <v>335</v>
      </c>
      <c r="AA137" s="635" t="s">
        <v>335</v>
      </c>
      <c r="AB137" s="635" t="s">
        <v>335</v>
      </c>
    </row>
    <row r="138" spans="1:28">
      <c r="A138" s="633" t="s">
        <v>337</v>
      </c>
      <c r="B138" s="1063" t="s">
        <v>53</v>
      </c>
      <c r="C138" s="637" t="s">
        <v>338</v>
      </c>
      <c r="D138" s="637" t="s">
        <v>339</v>
      </c>
      <c r="E138" s="637"/>
      <c r="F138" s="637"/>
      <c r="G138" s="637"/>
      <c r="H138" s="637"/>
      <c r="I138" s="637"/>
      <c r="J138" s="638" t="s">
        <v>164</v>
      </c>
      <c r="K138" s="633" t="s">
        <v>340</v>
      </c>
      <c r="L138" s="633" t="s">
        <v>341</v>
      </c>
      <c r="M138" s="633" t="s">
        <v>341</v>
      </c>
      <c r="N138" s="627"/>
      <c r="O138" s="627"/>
      <c r="P138" s="633" t="s">
        <v>337</v>
      </c>
      <c r="Q138" s="636" t="s">
        <v>53</v>
      </c>
      <c r="R138" s="637" t="s">
        <v>338</v>
      </c>
      <c r="S138" s="637" t="s">
        <v>357</v>
      </c>
      <c r="T138" s="637"/>
      <c r="U138" s="637"/>
      <c r="V138" s="637"/>
      <c r="W138" s="637"/>
      <c r="X138" s="637"/>
      <c r="Y138" s="638" t="s">
        <v>164</v>
      </c>
      <c r="Z138" s="633" t="s">
        <v>340</v>
      </c>
      <c r="AA138" s="633" t="s">
        <v>341</v>
      </c>
      <c r="AB138" s="633" t="s">
        <v>341</v>
      </c>
    </row>
    <row r="139" spans="1:28">
      <c r="A139" s="639"/>
      <c r="B139" s="1064"/>
      <c r="C139" s="640" t="s">
        <v>342</v>
      </c>
      <c r="D139" s="640" t="s">
        <v>343</v>
      </c>
      <c r="E139" s="640" t="s">
        <v>127</v>
      </c>
      <c r="F139" s="640" t="s">
        <v>56</v>
      </c>
      <c r="G139" s="640" t="s">
        <v>344</v>
      </c>
      <c r="H139" s="640" t="s">
        <v>345</v>
      </c>
      <c r="I139" s="640" t="s">
        <v>122</v>
      </c>
      <c r="J139" s="634" t="s">
        <v>346</v>
      </c>
      <c r="K139" s="641" t="s">
        <v>361</v>
      </c>
      <c r="L139" s="641" t="s">
        <v>362</v>
      </c>
      <c r="M139" s="641" t="s">
        <v>363</v>
      </c>
      <c r="N139" s="627"/>
      <c r="O139" s="627"/>
      <c r="P139" s="639"/>
      <c r="Q139" s="642"/>
      <c r="R139" s="640" t="s">
        <v>342</v>
      </c>
      <c r="S139" s="640" t="s">
        <v>358</v>
      </c>
      <c r="T139" s="640" t="s">
        <v>127</v>
      </c>
      <c r="U139" s="640" t="s">
        <v>56</v>
      </c>
      <c r="V139" s="640" t="s">
        <v>344</v>
      </c>
      <c r="W139" s="640" t="s">
        <v>345</v>
      </c>
      <c r="X139" s="640" t="s">
        <v>122</v>
      </c>
      <c r="Y139" s="634" t="s">
        <v>346</v>
      </c>
      <c r="Z139" s="641" t="s">
        <v>361</v>
      </c>
      <c r="AA139" s="641" t="s">
        <v>362</v>
      </c>
      <c r="AB139" s="641" t="s">
        <v>363</v>
      </c>
    </row>
    <row r="140" spans="1:28">
      <c r="A140" s="643" t="s">
        <v>127</v>
      </c>
      <c r="B140" s="1065">
        <v>128438</v>
      </c>
      <c r="C140" s="644">
        <v>50939</v>
      </c>
      <c r="D140" s="644">
        <v>49267</v>
      </c>
      <c r="E140" s="645"/>
      <c r="F140" s="644">
        <v>16363</v>
      </c>
      <c r="G140" s="644">
        <v>9801</v>
      </c>
      <c r="H140" s="644">
        <v>44539</v>
      </c>
      <c r="I140" s="644">
        <v>30694</v>
      </c>
      <c r="J140" s="646">
        <v>14644</v>
      </c>
      <c r="K140" s="647">
        <v>16171</v>
      </c>
      <c r="L140" s="647">
        <v>7410</v>
      </c>
      <c r="M140" s="647">
        <v>6870</v>
      </c>
      <c r="N140" s="627"/>
      <c r="O140" s="627"/>
      <c r="P140" s="643" t="s">
        <v>127</v>
      </c>
      <c r="Q140" s="648">
        <v>0.31111509054952585</v>
      </c>
      <c r="R140" s="649">
        <v>0.68297375292015938</v>
      </c>
      <c r="S140" s="649">
        <v>0.6913958633568108</v>
      </c>
      <c r="T140" s="645"/>
      <c r="U140" s="649">
        <v>0.85027195502047304</v>
      </c>
      <c r="V140" s="649">
        <v>0.85501479440873385</v>
      </c>
      <c r="W140" s="649">
        <v>0.69267383641303126</v>
      </c>
      <c r="X140" s="649">
        <v>0.74477096500944806</v>
      </c>
      <c r="Y140" s="650">
        <v>0.74050805790767549</v>
      </c>
      <c r="Z140" s="651"/>
      <c r="AA140" s="651"/>
      <c r="AB140" s="651">
        <v>0.86710334788937404</v>
      </c>
    </row>
    <row r="141" spans="1:28">
      <c r="A141" s="652"/>
      <c r="B141" s="1066"/>
      <c r="C141" s="653">
        <v>0.39660380884162005</v>
      </c>
      <c r="D141" s="653">
        <v>0.38358585465360717</v>
      </c>
      <c r="E141" s="653">
        <v>0</v>
      </c>
      <c r="F141" s="653">
        <v>0.12739999065697069</v>
      </c>
      <c r="G141" s="653">
        <v>7.6309191983680844E-2</v>
      </c>
      <c r="H141" s="653">
        <v>0.34677431912673817</v>
      </c>
      <c r="I141" s="653">
        <v>0.23897911832946636</v>
      </c>
      <c r="J141" s="654">
        <v>0.11401610115386412</v>
      </c>
      <c r="K141" s="654">
        <v>0.12590510596552401</v>
      </c>
      <c r="L141" s="654">
        <v>5.7693206060511697E-2</v>
      </c>
      <c r="M141" s="654">
        <v>5.348884286581853E-2</v>
      </c>
      <c r="N141" s="627"/>
      <c r="O141" s="627"/>
      <c r="P141" s="652"/>
      <c r="Q141" s="655"/>
      <c r="R141" s="653"/>
      <c r="S141" s="653"/>
      <c r="T141" s="653"/>
      <c r="U141" s="653"/>
      <c r="V141" s="653"/>
      <c r="W141" s="653"/>
      <c r="X141" s="653"/>
      <c r="Y141" s="656"/>
      <c r="Z141" s="657"/>
      <c r="AA141" s="657"/>
      <c r="AB141" s="657"/>
    </row>
    <row r="142" spans="1:28">
      <c r="A142" s="643" t="s">
        <v>56</v>
      </c>
      <c r="B142" s="1067">
        <v>245343</v>
      </c>
      <c r="C142" s="644">
        <v>67351</v>
      </c>
      <c r="D142" s="644">
        <v>65332</v>
      </c>
      <c r="E142" s="644">
        <v>24935</v>
      </c>
      <c r="F142" s="645"/>
      <c r="G142" s="644">
        <v>15709</v>
      </c>
      <c r="H142" s="644">
        <v>55505</v>
      </c>
      <c r="I142" s="644">
        <v>38864</v>
      </c>
      <c r="J142" s="646">
        <v>14485</v>
      </c>
      <c r="K142" s="647">
        <v>27116</v>
      </c>
      <c r="L142" s="647">
        <v>7970</v>
      </c>
      <c r="M142" s="647">
        <v>6538</v>
      </c>
      <c r="N142" s="627"/>
      <c r="O142" s="627"/>
      <c r="P142" s="643" t="s">
        <v>56</v>
      </c>
      <c r="Q142" s="651">
        <v>0.13924994803193896</v>
      </c>
      <c r="R142" s="649">
        <v>0.4562070347879022</v>
      </c>
      <c r="S142" s="649">
        <v>0.46813200269393251</v>
      </c>
      <c r="T142" s="649">
        <v>0.61852817325045117</v>
      </c>
      <c r="U142" s="645"/>
      <c r="V142" s="649">
        <v>0.63549557578458205</v>
      </c>
      <c r="W142" s="649">
        <v>0.46840825150887305</v>
      </c>
      <c r="X142" s="649">
        <v>0.57310107039934133</v>
      </c>
      <c r="Y142" s="650">
        <v>0.25281325509147395</v>
      </c>
      <c r="Z142" s="651"/>
      <c r="AA142" s="651"/>
      <c r="AB142" s="651">
        <v>0.77516059957173444</v>
      </c>
    </row>
    <row r="143" spans="1:28">
      <c r="A143" s="652"/>
      <c r="B143" s="1066"/>
      <c r="C143" s="653">
        <v>0.27451771601390706</v>
      </c>
      <c r="D143" s="653">
        <v>0.26628842070081477</v>
      </c>
      <c r="E143" s="653">
        <v>0.10163322369091435</v>
      </c>
      <c r="F143" s="653">
        <v>0</v>
      </c>
      <c r="G143" s="653">
        <v>6.402872712895824E-2</v>
      </c>
      <c r="H143" s="653">
        <v>0.22623429239880494</v>
      </c>
      <c r="I143" s="653">
        <v>0.15840680190590317</v>
      </c>
      <c r="J143" s="654">
        <v>5.9039793269015213E-2</v>
      </c>
      <c r="K143" s="654">
        <v>0.11052281907370499</v>
      </c>
      <c r="L143" s="654">
        <v>3.2485133058615903E-2</v>
      </c>
      <c r="M143" s="654">
        <v>2.6648406516591058E-2</v>
      </c>
      <c r="N143" s="627"/>
      <c r="O143" s="627"/>
      <c r="P143" s="652"/>
      <c r="Q143" s="655"/>
      <c r="R143" s="653"/>
      <c r="S143" s="653"/>
      <c r="T143" s="653"/>
      <c r="U143" s="653"/>
      <c r="V143" s="653"/>
      <c r="W143" s="653"/>
      <c r="X143" s="653"/>
      <c r="Y143" s="656"/>
      <c r="Z143" s="657"/>
      <c r="AA143" s="657"/>
      <c r="AB143" s="657"/>
    </row>
    <row r="144" spans="1:28">
      <c r="A144" s="643" t="s">
        <v>344</v>
      </c>
      <c r="B144" s="1067">
        <v>163185</v>
      </c>
      <c r="C144" s="644">
        <v>27472</v>
      </c>
      <c r="D144" s="644">
        <v>27184</v>
      </c>
      <c r="E144" s="644">
        <v>8350</v>
      </c>
      <c r="F144" s="644">
        <v>5042</v>
      </c>
      <c r="G144" s="645"/>
      <c r="H144" s="644">
        <v>24741</v>
      </c>
      <c r="I144" s="644">
        <v>13457</v>
      </c>
      <c r="J144" s="646">
        <v>2754</v>
      </c>
      <c r="K144" s="647">
        <v>2923</v>
      </c>
      <c r="L144" s="647">
        <v>2923</v>
      </c>
      <c r="M144" s="647">
        <v>2647</v>
      </c>
      <c r="N144" s="627"/>
      <c r="O144" s="627"/>
      <c r="P144" s="643" t="s">
        <v>344</v>
      </c>
      <c r="Q144" s="651">
        <v>5.265189815240371E-2</v>
      </c>
      <c r="R144" s="649">
        <v>0.31144437973209088</v>
      </c>
      <c r="S144" s="649">
        <v>0.31124926427310184</v>
      </c>
      <c r="T144" s="649">
        <v>0.45029940119760481</v>
      </c>
      <c r="U144" s="649">
        <v>0.61483538278460925</v>
      </c>
      <c r="V144" s="645"/>
      <c r="W144" s="649">
        <v>0.26474273473182169</v>
      </c>
      <c r="X144" s="649">
        <v>0.27940848628966336</v>
      </c>
      <c r="Y144" s="650">
        <v>0.33405954974582425</v>
      </c>
      <c r="Z144" s="651"/>
      <c r="AA144" s="651"/>
      <c r="AB144" s="651">
        <v>0.6108802417831507</v>
      </c>
    </row>
    <row r="145" spans="1:28">
      <c r="A145" s="652"/>
      <c r="B145" s="1066"/>
      <c r="C145" s="653">
        <v>0.16834880656923124</v>
      </c>
      <c r="D145" s="653">
        <v>0.16658393847473726</v>
      </c>
      <c r="E145" s="653">
        <v>5.1168918711891415E-2</v>
      </c>
      <c r="F145" s="653">
        <v>3.0897447682078621E-2</v>
      </c>
      <c r="G145" s="653">
        <v>0</v>
      </c>
      <c r="H145" s="653">
        <v>0.15161319974262341</v>
      </c>
      <c r="I145" s="653">
        <v>8.2464687318074575E-2</v>
      </c>
      <c r="J145" s="654">
        <v>1.6876551153598675E-2</v>
      </c>
      <c r="K145" s="654">
        <v>1.7912185556270499E-2</v>
      </c>
      <c r="L145" s="654">
        <v>1.7912185556270499E-2</v>
      </c>
      <c r="M145" s="654">
        <v>1.6220853632380426E-2</v>
      </c>
      <c r="N145" s="627"/>
      <c r="O145" s="627"/>
      <c r="P145" s="652"/>
      <c r="Q145" s="655"/>
      <c r="R145" s="653"/>
      <c r="S145" s="653"/>
      <c r="T145" s="653"/>
      <c r="U145" s="653"/>
      <c r="V145" s="659"/>
      <c r="W145" s="653"/>
      <c r="X145" s="653"/>
      <c r="Y145" s="656"/>
      <c r="Z145" s="657"/>
      <c r="AA145" s="657"/>
      <c r="AB145" s="657"/>
    </row>
    <row r="146" spans="1:28">
      <c r="A146" s="643" t="s">
        <v>347</v>
      </c>
      <c r="B146" s="1067">
        <v>260984</v>
      </c>
      <c r="C146" s="644">
        <v>83434</v>
      </c>
      <c r="D146" s="644">
        <v>74934</v>
      </c>
      <c r="E146" s="644">
        <v>62835</v>
      </c>
      <c r="F146" s="644">
        <v>29463</v>
      </c>
      <c r="G146" s="644">
        <v>21400</v>
      </c>
      <c r="H146" s="658" t="s">
        <v>68</v>
      </c>
      <c r="I146" s="644">
        <v>49354</v>
      </c>
      <c r="J146" s="646">
        <v>37959</v>
      </c>
      <c r="K146" s="647">
        <v>27239</v>
      </c>
      <c r="L146" s="647">
        <v>14696</v>
      </c>
      <c r="M146" s="647">
        <v>13404</v>
      </c>
      <c r="N146" s="627"/>
      <c r="O146" s="627"/>
      <c r="P146" s="643" t="s">
        <v>347</v>
      </c>
      <c r="Q146" s="651">
        <v>0.24187689666799497</v>
      </c>
      <c r="R146" s="649">
        <v>0.67352638013279953</v>
      </c>
      <c r="S146" s="649">
        <v>0.71286732324445512</v>
      </c>
      <c r="T146" s="649">
        <v>0.75365640168695791</v>
      </c>
      <c r="U146" s="649">
        <v>0.85486881851814145</v>
      </c>
      <c r="V146" s="649">
        <v>0.82971962616822426</v>
      </c>
      <c r="W146" s="658"/>
      <c r="X146" s="649">
        <v>0.72431819102808281</v>
      </c>
      <c r="Y146" s="650">
        <v>0.67251508206222499</v>
      </c>
      <c r="Z146" s="651"/>
      <c r="AA146" s="651"/>
      <c r="AB146" s="651">
        <v>0.91942703670546111</v>
      </c>
    </row>
    <row r="147" spans="1:28">
      <c r="A147" s="652"/>
      <c r="B147" s="1066"/>
      <c r="C147" s="653">
        <v>0.31969009594457898</v>
      </c>
      <c r="D147" s="653">
        <v>0.28712104956625695</v>
      </c>
      <c r="E147" s="653">
        <v>0.24076188578610183</v>
      </c>
      <c r="F147" s="653">
        <v>0.11289197805229439</v>
      </c>
      <c r="G147" s="653">
        <v>8.1997363823069616E-2</v>
      </c>
      <c r="H147" s="653"/>
      <c r="I147" s="653">
        <v>0.18910737823008306</v>
      </c>
      <c r="J147" s="654">
        <v>0.14544569782055605</v>
      </c>
      <c r="K147" s="654">
        <v>0.104370382858719</v>
      </c>
      <c r="L147" s="654">
        <v>5.6309965361861301E-2</v>
      </c>
      <c r="M147" s="654">
        <v>5.1359470312356312E-2</v>
      </c>
      <c r="N147" s="627"/>
      <c r="O147" s="627"/>
      <c r="P147" s="652"/>
      <c r="Q147" s="661"/>
      <c r="R147" s="653"/>
      <c r="S147" s="653"/>
      <c r="T147" s="653"/>
      <c r="U147" s="653"/>
      <c r="V147" s="653"/>
      <c r="W147" s="738"/>
      <c r="X147" s="653"/>
      <c r="Y147" s="656"/>
      <c r="Z147" s="657"/>
      <c r="AA147" s="657"/>
      <c r="AB147" s="657"/>
    </row>
    <row r="148" spans="1:28">
      <c r="A148" s="643" t="s">
        <v>122</v>
      </c>
      <c r="B148" s="1067">
        <v>798074</v>
      </c>
      <c r="C148" s="644">
        <v>18733</v>
      </c>
      <c r="D148" s="644">
        <v>17122</v>
      </c>
      <c r="E148" s="644">
        <v>6974</v>
      </c>
      <c r="F148" s="644">
        <v>3532</v>
      </c>
      <c r="G148" s="644">
        <v>2485</v>
      </c>
      <c r="H148" s="644">
        <v>15713</v>
      </c>
      <c r="I148" s="658" t="s">
        <v>68</v>
      </c>
      <c r="J148" s="646">
        <v>5192</v>
      </c>
      <c r="K148" s="647">
        <v>3393</v>
      </c>
      <c r="L148" s="647">
        <v>1977</v>
      </c>
      <c r="M148" s="647">
        <v>1578</v>
      </c>
      <c r="N148" s="627"/>
      <c r="O148" s="627"/>
      <c r="P148" s="643" t="s">
        <v>122</v>
      </c>
      <c r="Q148" s="651">
        <v>1.3174216927252361E-2</v>
      </c>
      <c r="R148" s="649">
        <v>0.55212726205092622</v>
      </c>
      <c r="S148" s="649">
        <v>0.59105244714402527</v>
      </c>
      <c r="T148" s="649">
        <v>0.74806423860051618</v>
      </c>
      <c r="U148" s="649">
        <v>0.79416761041902606</v>
      </c>
      <c r="V148" s="649">
        <v>0.83058350100603617</v>
      </c>
      <c r="W148" s="649">
        <v>0.5629096926112136</v>
      </c>
      <c r="X148" s="658"/>
      <c r="Y148" s="650">
        <v>0.37442218798151</v>
      </c>
      <c r="Z148" s="651"/>
      <c r="AA148" s="651"/>
      <c r="AB148" s="651">
        <v>0.67571721311475408</v>
      </c>
    </row>
    <row r="149" spans="1:28">
      <c r="A149" s="662"/>
      <c r="B149" s="1069"/>
      <c r="C149" s="663">
        <v>2.3472760671316192E-2</v>
      </c>
      <c r="D149" s="664">
        <v>2.1454150868215227E-2</v>
      </c>
      <c r="E149" s="664">
        <v>8.7385380303079668E-3</v>
      </c>
      <c r="F149" s="664">
        <v>4.4256547638439545E-3</v>
      </c>
      <c r="G149" s="664">
        <v>3.1137463443239601E-3</v>
      </c>
      <c r="H149" s="664">
        <v>1.9688650425900355E-2</v>
      </c>
      <c r="I149" s="664"/>
      <c r="J149" s="665">
        <v>6.5056623821851105E-3</v>
      </c>
      <c r="K149" s="666">
        <v>4.2514854512238198E-3</v>
      </c>
      <c r="L149" s="666">
        <v>2.47721389244606E-3</v>
      </c>
      <c r="M149" s="666">
        <v>1.9772602540616534E-3</v>
      </c>
      <c r="N149" s="627"/>
      <c r="O149" s="627"/>
      <c r="P149" s="662"/>
      <c r="Q149" s="667"/>
      <c r="R149" s="664"/>
      <c r="S149" s="664"/>
      <c r="T149" s="664"/>
      <c r="U149" s="664"/>
      <c r="V149" s="664"/>
      <c r="W149" s="664"/>
      <c r="X149" s="664"/>
      <c r="Y149" s="665"/>
      <c r="Z149" s="666"/>
      <c r="AA149" s="666"/>
      <c r="AB149" s="666"/>
    </row>
    <row r="150" spans="1:28">
      <c r="A150" s="668" t="s">
        <v>348</v>
      </c>
      <c r="B150" s="669">
        <v>1596024</v>
      </c>
      <c r="C150" s="670">
        <v>247929</v>
      </c>
      <c r="D150" s="670">
        <v>233839</v>
      </c>
      <c r="E150" s="670">
        <v>103094</v>
      </c>
      <c r="F150" s="670">
        <v>54400</v>
      </c>
      <c r="G150" s="670">
        <v>49395</v>
      </c>
      <c r="H150" s="670">
        <v>140498</v>
      </c>
      <c r="I150" s="670">
        <v>132369</v>
      </c>
      <c r="J150" s="671">
        <v>75034</v>
      </c>
      <c r="K150" s="672">
        <v>76842</v>
      </c>
      <c r="L150" s="672">
        <v>34976</v>
      </c>
      <c r="M150" s="672">
        <v>31037</v>
      </c>
      <c r="N150" s="627"/>
      <c r="O150" s="627"/>
      <c r="P150" s="668" t="s">
        <v>348</v>
      </c>
      <c r="Q150" s="673"/>
      <c r="R150" s="674"/>
      <c r="S150" s="674"/>
      <c r="T150" s="674"/>
      <c r="U150" s="674"/>
      <c r="V150" s="674"/>
      <c r="W150" s="674"/>
      <c r="X150" s="674"/>
      <c r="Y150" s="675"/>
      <c r="Z150" s="673"/>
      <c r="AA150" s="673"/>
      <c r="AB150" s="673"/>
    </row>
    <row r="151" spans="1:28">
      <c r="A151" s="676" t="s">
        <v>349</v>
      </c>
      <c r="B151" s="677"/>
      <c r="C151" s="678">
        <v>0.15534164899775943</v>
      </c>
      <c r="D151" s="678">
        <v>0.14651346095046189</v>
      </c>
      <c r="E151" s="678">
        <v>6.4594266752880908E-2</v>
      </c>
      <c r="F151" s="678">
        <v>3.4084700480694528E-2</v>
      </c>
      <c r="G151" s="678">
        <v>3.0948782725071802E-2</v>
      </c>
      <c r="H151" s="678">
        <v>8.8030004561334918E-2</v>
      </c>
      <c r="I151" s="678">
        <v>8.2936722756048784E-2</v>
      </c>
      <c r="J151" s="679">
        <v>4.701307749758149E-2</v>
      </c>
      <c r="K151" s="680">
        <v>4.9855231842743299E-2</v>
      </c>
      <c r="L151" s="680">
        <v>2.2685766665242101E-2</v>
      </c>
      <c r="M151" s="680">
        <v>1.9446449426825663E-2</v>
      </c>
      <c r="N151" s="627"/>
      <c r="O151" s="627"/>
      <c r="P151" s="676" t="s">
        <v>349</v>
      </c>
      <c r="Q151" s="681"/>
      <c r="R151" s="682"/>
      <c r="S151" s="682"/>
      <c r="T151" s="682"/>
      <c r="U151" s="682"/>
      <c r="V151" s="682"/>
      <c r="W151" s="682"/>
      <c r="X151" s="682"/>
      <c r="Y151" s="683"/>
      <c r="Z151" s="684"/>
      <c r="AA151" s="684"/>
      <c r="AB151" s="684"/>
    </row>
    <row r="152" spans="1:28">
      <c r="A152" s="643" t="s">
        <v>51</v>
      </c>
      <c r="B152" s="1067">
        <v>84315</v>
      </c>
      <c r="C152" s="644">
        <v>18345</v>
      </c>
      <c r="D152" s="644">
        <v>17541</v>
      </c>
      <c r="E152" s="644">
        <v>5689</v>
      </c>
      <c r="F152" s="644">
        <v>2776</v>
      </c>
      <c r="G152" s="644">
        <v>1529</v>
      </c>
      <c r="H152" s="644">
        <v>15399</v>
      </c>
      <c r="I152" s="644">
        <v>7034</v>
      </c>
      <c r="J152" s="685"/>
      <c r="K152" s="686">
        <v>1440</v>
      </c>
      <c r="L152" s="686">
        <v>615</v>
      </c>
      <c r="M152" s="686">
        <v>877</v>
      </c>
      <c r="N152" s="627"/>
      <c r="O152" s="627"/>
      <c r="P152" s="643" t="s">
        <v>51</v>
      </c>
      <c r="Q152" s="651"/>
      <c r="R152" s="649"/>
      <c r="S152" s="649"/>
      <c r="T152" s="649"/>
      <c r="U152" s="649"/>
      <c r="V152" s="649"/>
      <c r="W152" s="649"/>
      <c r="X152" s="649"/>
      <c r="Y152" s="658"/>
      <c r="Z152" s="651"/>
      <c r="AA152" s="651"/>
      <c r="AB152" s="651"/>
    </row>
    <row r="153" spans="1:28">
      <c r="A153" s="687"/>
      <c r="B153" s="1064"/>
      <c r="C153" s="688">
        <v>0.21757694360434088</v>
      </c>
      <c r="D153" s="688">
        <v>0.20804127379469844</v>
      </c>
      <c r="E153" s="688">
        <v>6.7473166103303089E-2</v>
      </c>
      <c r="F153" s="688">
        <v>3.2924153472098677E-2</v>
      </c>
      <c r="G153" s="688">
        <v>1.8134377038486627E-2</v>
      </c>
      <c r="H153" s="688">
        <v>0.18263654154065112</v>
      </c>
      <c r="I153" s="688">
        <v>8.3425250548538221E-2</v>
      </c>
      <c r="J153" s="689">
        <v>0</v>
      </c>
      <c r="K153" s="690">
        <v>1.7078811599359499E-2</v>
      </c>
      <c r="L153" s="690">
        <v>7.2940757872264703E-3</v>
      </c>
      <c r="M153" s="690">
        <v>1.0401470675443279E-2</v>
      </c>
      <c r="N153" s="627"/>
      <c r="O153" s="627"/>
      <c r="P153" s="687"/>
      <c r="Q153" s="642"/>
      <c r="R153" s="688"/>
      <c r="S153" s="688"/>
      <c r="T153" s="688"/>
      <c r="U153" s="688"/>
      <c r="V153" s="688"/>
      <c r="W153" s="688"/>
      <c r="X153" s="688"/>
      <c r="Y153" s="689"/>
      <c r="Z153" s="690"/>
      <c r="AA153" s="690"/>
      <c r="AB153" s="690"/>
    </row>
    <row r="154" spans="1:28">
      <c r="A154" s="668" t="s">
        <v>350</v>
      </c>
      <c r="B154" s="691">
        <v>1680339</v>
      </c>
      <c r="C154" s="692">
        <v>266274</v>
      </c>
      <c r="D154" s="693">
        <v>251380</v>
      </c>
      <c r="E154" s="693">
        <v>108783</v>
      </c>
      <c r="F154" s="693">
        <v>57176</v>
      </c>
      <c r="G154" s="693">
        <v>50924</v>
      </c>
      <c r="H154" s="693">
        <v>155897</v>
      </c>
      <c r="I154" s="693">
        <v>139403</v>
      </c>
      <c r="J154" s="694">
        <v>75034</v>
      </c>
      <c r="K154" s="695">
        <v>78282</v>
      </c>
      <c r="L154" s="695">
        <v>35591</v>
      </c>
      <c r="M154" s="695">
        <v>31914</v>
      </c>
      <c r="N154" s="627"/>
      <c r="O154" s="627"/>
      <c r="P154" s="668" t="s">
        <v>350</v>
      </c>
      <c r="Q154" s="696"/>
      <c r="R154" s="697"/>
      <c r="S154" s="698"/>
      <c r="T154" s="698"/>
      <c r="U154" s="698"/>
      <c r="V154" s="698"/>
      <c r="W154" s="698"/>
      <c r="X154" s="698"/>
      <c r="Y154" s="699"/>
      <c r="Z154" s="700"/>
      <c r="AA154" s="700"/>
      <c r="AB154" s="700"/>
    </row>
    <row r="155" spans="1:28" ht="15.75" thickBot="1">
      <c r="A155" s="701"/>
      <c r="B155" s="702"/>
      <c r="C155" s="703">
        <v>0.15846445270864987</v>
      </c>
      <c r="D155" s="703">
        <v>0.14960076508371228</v>
      </c>
      <c r="E155" s="703">
        <v>6.4738722364951359E-2</v>
      </c>
      <c r="F155" s="703">
        <v>3.4026467278328955E-2</v>
      </c>
      <c r="G155" s="703">
        <v>3.0305789486526232E-2</v>
      </c>
      <c r="H155" s="703">
        <v>9.2777112237471135E-2</v>
      </c>
      <c r="I155" s="703">
        <v>8.2961235798252611E-2</v>
      </c>
      <c r="J155" s="704">
        <v>4.465408468172196E-2</v>
      </c>
      <c r="K155" s="705">
        <v>4.6587027974712203E-2</v>
      </c>
      <c r="L155" s="705">
        <v>2.1180845055670298E-2</v>
      </c>
      <c r="M155" s="705">
        <v>1.8992596136850958E-2</v>
      </c>
      <c r="N155" s="706"/>
      <c r="O155" s="627"/>
      <c r="P155" s="701"/>
      <c r="Q155" s="702"/>
      <c r="R155" s="703"/>
      <c r="S155" s="703"/>
      <c r="T155" s="703"/>
      <c r="U155" s="703"/>
      <c r="V155" s="703"/>
      <c r="W155" s="703"/>
      <c r="X155" s="703"/>
      <c r="Y155" s="704"/>
      <c r="Z155" s="705"/>
      <c r="AA155" s="705"/>
      <c r="AB155" s="705"/>
    </row>
    <row r="156" spans="1:28">
      <c r="A156" s="623"/>
      <c r="B156" s="964"/>
      <c r="C156" s="623"/>
      <c r="D156" s="623"/>
      <c r="E156" s="623"/>
      <c r="F156" s="623"/>
      <c r="G156" s="623"/>
      <c r="H156" s="965"/>
      <c r="I156" s="965"/>
      <c r="J156" s="965"/>
      <c r="K156" s="965"/>
      <c r="L156" s="965"/>
      <c r="M156" s="965"/>
      <c r="N156" s="739"/>
      <c r="O156" s="623"/>
      <c r="P156" s="623"/>
      <c r="Q156" s="623"/>
      <c r="R156" s="623"/>
      <c r="S156" s="623"/>
      <c r="T156" s="623"/>
      <c r="U156" s="623"/>
      <c r="V156" s="965"/>
      <c r="W156" s="965"/>
      <c r="X156" s="965"/>
      <c r="Y156" s="965"/>
      <c r="Z156" s="965"/>
      <c r="AA156" s="965"/>
      <c r="AB156" s="965"/>
    </row>
    <row r="157" spans="1:28">
      <c r="A157" s="623"/>
      <c r="B157" s="964"/>
      <c r="C157" s="623"/>
      <c r="D157" s="623"/>
      <c r="E157" s="623"/>
      <c r="F157" s="623"/>
      <c r="G157" s="965"/>
      <c r="H157" s="965"/>
      <c r="I157" s="965"/>
      <c r="J157" s="965"/>
      <c r="K157" s="965"/>
      <c r="L157" s="965"/>
      <c r="M157" s="965"/>
      <c r="N157" s="965"/>
      <c r="O157" s="623"/>
      <c r="P157" s="623" t="s">
        <v>355</v>
      </c>
      <c r="Q157" s="623" t="s">
        <v>356</v>
      </c>
      <c r="R157" s="623"/>
      <c r="S157" s="623"/>
      <c r="T157" s="623"/>
      <c r="U157" s="623"/>
      <c r="V157" s="965"/>
      <c r="W157" s="965"/>
      <c r="X157" s="965"/>
      <c r="Y157" s="965"/>
      <c r="Z157" s="965"/>
      <c r="AA157" s="965"/>
      <c r="AB157" s="965"/>
    </row>
    <row r="158" spans="1:28">
      <c r="A158" s="625" t="s">
        <v>324</v>
      </c>
      <c r="B158" s="626"/>
      <c r="C158" s="625">
        <v>2013</v>
      </c>
      <c r="D158" s="623"/>
      <c r="E158" s="623"/>
      <c r="F158" s="623"/>
      <c r="G158" s="623"/>
      <c r="H158" s="623"/>
      <c r="I158" s="623"/>
      <c r="J158" s="623"/>
      <c r="K158" s="623"/>
      <c r="L158" s="623"/>
      <c r="M158" s="623"/>
      <c r="N158" s="623"/>
      <c r="O158" s="627"/>
      <c r="P158" s="625" t="s">
        <v>324</v>
      </c>
      <c r="Q158" s="625"/>
      <c r="R158" s="625">
        <v>2013</v>
      </c>
      <c r="S158" s="623"/>
      <c r="T158" s="623"/>
      <c r="U158" s="623"/>
      <c r="V158" s="627"/>
      <c r="W158" s="627"/>
      <c r="X158" s="627"/>
      <c r="Y158" s="627"/>
      <c r="Z158" s="627"/>
      <c r="AA158" s="627"/>
      <c r="AB158" s="627"/>
    </row>
    <row r="159" spans="1:28" ht="15.75" thickBot="1">
      <c r="A159" s="627"/>
      <c r="B159" s="964"/>
      <c r="C159" s="627"/>
      <c r="D159" s="627"/>
      <c r="E159" s="627"/>
      <c r="F159" s="627"/>
      <c r="G159" s="627"/>
      <c r="H159" s="627"/>
      <c r="I159" s="627"/>
      <c r="J159" s="627"/>
      <c r="K159" s="627"/>
      <c r="L159" s="627"/>
      <c r="M159" s="627"/>
      <c r="N159" s="627"/>
      <c r="O159" s="627"/>
      <c r="P159" s="627"/>
      <c r="Q159" s="627"/>
      <c r="R159" s="627"/>
      <c r="S159" s="627"/>
      <c r="T159" s="627"/>
      <c r="U159" s="627"/>
      <c r="V159" s="627"/>
      <c r="W159" s="627"/>
      <c r="X159" s="627"/>
      <c r="Y159" s="627"/>
      <c r="Z159" s="627"/>
      <c r="AA159" s="627"/>
      <c r="AB159" s="627"/>
    </row>
    <row r="160" spans="1:28">
      <c r="A160" s="629" t="s">
        <v>325</v>
      </c>
      <c r="B160" s="630" t="s">
        <v>326</v>
      </c>
      <c r="C160" s="631"/>
      <c r="D160" s="631"/>
      <c r="E160" s="631" t="s">
        <v>327</v>
      </c>
      <c r="F160" s="631"/>
      <c r="G160" s="631"/>
      <c r="H160" s="631"/>
      <c r="I160" s="631"/>
      <c r="J160" s="631"/>
      <c r="K160" s="629" t="s">
        <v>328</v>
      </c>
      <c r="L160" s="629" t="s">
        <v>329</v>
      </c>
      <c r="M160" s="629" t="s">
        <v>330</v>
      </c>
      <c r="N160" s="627"/>
      <c r="O160" s="627"/>
      <c r="P160" s="629" t="s">
        <v>325</v>
      </c>
      <c r="Q160" s="632" t="s">
        <v>326</v>
      </c>
      <c r="R160" s="631"/>
      <c r="S160" s="631"/>
      <c r="T160" s="631" t="s">
        <v>331</v>
      </c>
      <c r="U160" s="631"/>
      <c r="V160" s="631"/>
      <c r="W160" s="631"/>
      <c r="X160" s="631"/>
      <c r="Y160" s="631"/>
      <c r="Z160" s="629" t="s">
        <v>328</v>
      </c>
      <c r="AA160" s="629" t="s">
        <v>329</v>
      </c>
      <c r="AB160" s="629" t="s">
        <v>330</v>
      </c>
    </row>
    <row r="161" spans="1:28">
      <c r="A161" s="633" t="s">
        <v>332</v>
      </c>
      <c r="B161" s="1063" t="s">
        <v>333</v>
      </c>
      <c r="C161" s="634"/>
      <c r="D161" s="634"/>
      <c r="E161" s="634" t="s">
        <v>334</v>
      </c>
      <c r="F161" s="634"/>
      <c r="G161" s="634"/>
      <c r="H161" s="634"/>
      <c r="I161" s="634"/>
      <c r="J161" s="634"/>
      <c r="K161" s="635" t="s">
        <v>335</v>
      </c>
      <c r="L161" s="635" t="s">
        <v>335</v>
      </c>
      <c r="M161" s="635" t="s">
        <v>335</v>
      </c>
      <c r="N161" s="627"/>
      <c r="O161" s="627"/>
      <c r="P161" s="633" t="s">
        <v>332</v>
      </c>
      <c r="Q161" s="636" t="s">
        <v>333</v>
      </c>
      <c r="R161" s="634"/>
      <c r="S161" s="634"/>
      <c r="T161" s="634" t="s">
        <v>336</v>
      </c>
      <c r="U161" s="634"/>
      <c r="V161" s="634"/>
      <c r="W161" s="634"/>
      <c r="X161" s="634"/>
      <c r="Y161" s="634"/>
      <c r="Z161" s="635" t="s">
        <v>335</v>
      </c>
      <c r="AA161" s="635" t="s">
        <v>335</v>
      </c>
      <c r="AB161" s="635" t="s">
        <v>335</v>
      </c>
    </row>
    <row r="162" spans="1:28">
      <c r="A162" s="633" t="s">
        <v>337</v>
      </c>
      <c r="B162" s="1063" t="s">
        <v>53</v>
      </c>
      <c r="C162" s="637" t="s">
        <v>338</v>
      </c>
      <c r="D162" s="637" t="s">
        <v>339</v>
      </c>
      <c r="E162" s="637"/>
      <c r="F162" s="637"/>
      <c r="G162" s="637"/>
      <c r="H162" s="637"/>
      <c r="I162" s="637"/>
      <c r="J162" s="638" t="s">
        <v>164</v>
      </c>
      <c r="K162" s="633" t="s">
        <v>340</v>
      </c>
      <c r="L162" s="633" t="s">
        <v>341</v>
      </c>
      <c r="M162" s="633" t="s">
        <v>341</v>
      </c>
      <c r="N162" s="627"/>
      <c r="O162" s="627"/>
      <c r="P162" s="633" t="s">
        <v>337</v>
      </c>
      <c r="Q162" s="636" t="s">
        <v>53</v>
      </c>
      <c r="R162" s="637" t="s">
        <v>338</v>
      </c>
      <c r="S162" s="637" t="s">
        <v>357</v>
      </c>
      <c r="T162" s="637"/>
      <c r="U162" s="637"/>
      <c r="V162" s="637"/>
      <c r="W162" s="637"/>
      <c r="X162" s="637"/>
      <c r="Y162" s="638" t="s">
        <v>164</v>
      </c>
      <c r="Z162" s="633" t="s">
        <v>340</v>
      </c>
      <c r="AA162" s="633" t="s">
        <v>341</v>
      </c>
      <c r="AB162" s="633" t="s">
        <v>341</v>
      </c>
    </row>
    <row r="163" spans="1:28">
      <c r="A163" s="639"/>
      <c r="B163" s="1064"/>
      <c r="C163" s="640" t="s">
        <v>342</v>
      </c>
      <c r="D163" s="640" t="s">
        <v>343</v>
      </c>
      <c r="E163" s="640" t="s">
        <v>127</v>
      </c>
      <c r="F163" s="640" t="s">
        <v>56</v>
      </c>
      <c r="G163" s="640" t="s">
        <v>344</v>
      </c>
      <c r="H163" s="640" t="s">
        <v>345</v>
      </c>
      <c r="I163" s="640" t="s">
        <v>122</v>
      </c>
      <c r="J163" s="634" t="s">
        <v>346</v>
      </c>
      <c r="K163" s="641" t="s">
        <v>361</v>
      </c>
      <c r="L163" s="641" t="s">
        <v>362</v>
      </c>
      <c r="M163" s="641" t="s">
        <v>363</v>
      </c>
      <c r="N163" s="627"/>
      <c r="O163" s="627"/>
      <c r="P163" s="639"/>
      <c r="Q163" s="642"/>
      <c r="R163" s="640" t="s">
        <v>342</v>
      </c>
      <c r="S163" s="640" t="s">
        <v>358</v>
      </c>
      <c r="T163" s="640" t="s">
        <v>127</v>
      </c>
      <c r="U163" s="640" t="s">
        <v>56</v>
      </c>
      <c r="V163" s="640" t="s">
        <v>344</v>
      </c>
      <c r="W163" s="640" t="s">
        <v>345</v>
      </c>
      <c r="X163" s="640" t="s">
        <v>122</v>
      </c>
      <c r="Y163" s="634" t="s">
        <v>346</v>
      </c>
      <c r="Z163" s="641" t="s">
        <v>361</v>
      </c>
      <c r="AA163" s="641" t="s">
        <v>362</v>
      </c>
      <c r="AB163" s="641" t="s">
        <v>363</v>
      </c>
    </row>
    <row r="164" spans="1:28">
      <c r="A164" s="643" t="s">
        <v>127</v>
      </c>
      <c r="B164" s="1065">
        <v>127188</v>
      </c>
      <c r="C164" s="644">
        <v>53772</v>
      </c>
      <c r="D164" s="644">
        <v>51849</v>
      </c>
      <c r="E164" s="645" t="s">
        <v>68</v>
      </c>
      <c r="F164" s="644">
        <v>16779</v>
      </c>
      <c r="G164" s="644">
        <v>10042</v>
      </c>
      <c r="H164" s="644">
        <v>46148</v>
      </c>
      <c r="I164" s="644">
        <v>31996</v>
      </c>
      <c r="J164" s="646">
        <v>20083</v>
      </c>
      <c r="K164" s="647">
        <v>15790</v>
      </c>
      <c r="L164" s="647">
        <v>7171</v>
      </c>
      <c r="M164" s="647">
        <v>6791</v>
      </c>
      <c r="N164" s="627"/>
      <c r="O164" s="627"/>
      <c r="P164" s="643" t="s">
        <v>127</v>
      </c>
      <c r="Q164" s="648">
        <v>0.38160456013786498</v>
      </c>
      <c r="R164" s="649">
        <v>0.70551588187160597</v>
      </c>
      <c r="S164" s="649">
        <v>6.2795680675477904E-3</v>
      </c>
      <c r="T164" s="645" t="s">
        <v>68</v>
      </c>
      <c r="U164" s="649">
        <v>0.86042076405030099</v>
      </c>
      <c r="V164" s="649">
        <v>0.86357299342760396</v>
      </c>
      <c r="W164" s="649">
        <v>0.73545982491115502</v>
      </c>
      <c r="X164" s="649">
        <v>0.75631328916114504</v>
      </c>
      <c r="Y164" s="650">
        <v>0.83105113777822004</v>
      </c>
      <c r="Z164" s="651">
        <v>0.87327422419252698</v>
      </c>
      <c r="AA164" s="651">
        <v>0.90893878120206395</v>
      </c>
      <c r="AB164" s="651">
        <v>0.91194227654248305</v>
      </c>
    </row>
    <row r="165" spans="1:28">
      <c r="A165" s="652"/>
      <c r="B165" s="1066"/>
      <c r="C165" s="653">
        <v>0.42277573355977</v>
      </c>
      <c r="D165" s="653">
        <v>0.40765638267761101</v>
      </c>
      <c r="E165" s="653"/>
      <c r="F165" s="653">
        <v>0.13192282290782101</v>
      </c>
      <c r="G165" s="653">
        <v>7.8953989370066396E-2</v>
      </c>
      <c r="H165" s="653">
        <v>0.36283297166399298</v>
      </c>
      <c r="I165" s="653">
        <v>0.251564613013806</v>
      </c>
      <c r="J165" s="654">
        <v>0.15790011636317899</v>
      </c>
      <c r="K165" s="654">
        <v>0.124146932100513</v>
      </c>
      <c r="L165" s="654">
        <v>5.6381105135704601E-2</v>
      </c>
      <c r="M165" s="654">
        <v>5.3393401893260403E-2</v>
      </c>
      <c r="N165" s="627"/>
      <c r="O165" s="627"/>
      <c r="P165" s="652"/>
      <c r="Q165" s="655"/>
      <c r="R165" s="653"/>
      <c r="S165" s="653"/>
      <c r="T165" s="653"/>
      <c r="U165" s="653"/>
      <c r="V165" s="653"/>
      <c r="W165" s="653"/>
      <c r="X165" s="653"/>
      <c r="Y165" s="656"/>
      <c r="Z165" s="657"/>
      <c r="AA165" s="657"/>
      <c r="AB165" s="657"/>
    </row>
    <row r="166" spans="1:28">
      <c r="A166" s="643" t="s">
        <v>56</v>
      </c>
      <c r="B166" s="1067">
        <v>252391</v>
      </c>
      <c r="C166" s="644">
        <v>74632</v>
      </c>
      <c r="D166" s="644">
        <v>72394</v>
      </c>
      <c r="E166" s="644">
        <v>29193</v>
      </c>
      <c r="F166" s="645" t="s">
        <v>68</v>
      </c>
      <c r="G166" s="644">
        <v>16669</v>
      </c>
      <c r="H166" s="644">
        <v>60097</v>
      </c>
      <c r="I166" s="644">
        <v>43821</v>
      </c>
      <c r="J166" s="646">
        <v>18270</v>
      </c>
      <c r="K166" s="647">
        <v>26467</v>
      </c>
      <c r="L166" s="647">
        <v>7912</v>
      </c>
      <c r="M166" s="647">
        <v>7498</v>
      </c>
      <c r="N166" s="627"/>
      <c r="O166" s="627"/>
      <c r="P166" s="643" t="s">
        <v>56</v>
      </c>
      <c r="Q166" s="651">
        <v>0.17740278467866399</v>
      </c>
      <c r="R166" s="649">
        <v>0.49622145996355399</v>
      </c>
      <c r="S166" s="649">
        <v>1.34278765457473E-2</v>
      </c>
      <c r="T166" s="649">
        <v>0.68783612509848202</v>
      </c>
      <c r="U166" s="645" t="s">
        <v>68</v>
      </c>
      <c r="V166" s="649">
        <v>0.66962625232467499</v>
      </c>
      <c r="W166" s="649">
        <v>0.49470023462069701</v>
      </c>
      <c r="X166" s="649">
        <v>0.57963077063508395</v>
      </c>
      <c r="Y166" s="650">
        <v>0.719594964422551</v>
      </c>
      <c r="Z166" s="651">
        <v>0.70782483847810496</v>
      </c>
      <c r="AA166" s="651">
        <v>0.83455510616784601</v>
      </c>
      <c r="AB166" s="651">
        <v>0.84542544678581</v>
      </c>
    </row>
    <row r="167" spans="1:28">
      <c r="A167" s="652"/>
      <c r="B167" s="1066"/>
      <c r="C167" s="653">
        <v>0.29569992590861</v>
      </c>
      <c r="D167" s="653">
        <v>0.28683273175350898</v>
      </c>
      <c r="E167" s="653">
        <v>0.115665772551319</v>
      </c>
      <c r="F167" s="653"/>
      <c r="G167" s="653">
        <v>6.6044351819201194E-2</v>
      </c>
      <c r="H167" s="653">
        <v>0.23811070917742699</v>
      </c>
      <c r="I167" s="653">
        <v>0.17362346517902799</v>
      </c>
      <c r="J167" s="654">
        <v>7.2387684188421897E-2</v>
      </c>
      <c r="K167" s="654">
        <v>0.104865070466063</v>
      </c>
      <c r="L167" s="654">
        <v>3.1348185949578201E-2</v>
      </c>
      <c r="M167" s="654">
        <v>2.9707873894076999E-2</v>
      </c>
      <c r="N167" s="627"/>
      <c r="O167" s="627"/>
      <c r="P167" s="652"/>
      <c r="Q167" s="655"/>
      <c r="R167" s="653"/>
      <c r="S167" s="653"/>
      <c r="T167" s="653"/>
      <c r="U167" s="653"/>
      <c r="V167" s="653"/>
      <c r="W167" s="653"/>
      <c r="X167" s="653"/>
      <c r="Y167" s="656"/>
      <c r="Z167" s="657"/>
      <c r="AA167" s="657"/>
      <c r="AB167" s="657"/>
    </row>
    <row r="168" spans="1:28">
      <c r="A168" s="643" t="s">
        <v>344</v>
      </c>
      <c r="B168" s="1067">
        <v>159248</v>
      </c>
      <c r="C168" s="644">
        <v>29484</v>
      </c>
      <c r="D168" s="644">
        <v>29171</v>
      </c>
      <c r="E168" s="644">
        <v>8381</v>
      </c>
      <c r="F168" s="644">
        <v>5661</v>
      </c>
      <c r="G168" s="645" t="s">
        <v>68</v>
      </c>
      <c r="H168" s="644">
        <v>26660</v>
      </c>
      <c r="I168" s="644">
        <v>13153</v>
      </c>
      <c r="J168" s="646">
        <v>3748</v>
      </c>
      <c r="K168" s="647">
        <v>3080</v>
      </c>
      <c r="L168" s="647">
        <v>3080</v>
      </c>
      <c r="M168" s="647">
        <v>2891</v>
      </c>
      <c r="N168" s="627"/>
      <c r="O168" s="627"/>
      <c r="P168" s="643" t="s">
        <v>344</v>
      </c>
      <c r="Q168" s="651">
        <v>0.10110589127833999</v>
      </c>
      <c r="R168" s="649">
        <v>0.30487722154388802</v>
      </c>
      <c r="S168" s="649">
        <v>1.2483037389923499</v>
      </c>
      <c r="T168" s="649">
        <v>0.48693473332537901</v>
      </c>
      <c r="U168" s="649">
        <v>0.59848083377495098</v>
      </c>
      <c r="V168" s="645" t="s">
        <v>68</v>
      </c>
      <c r="W168" s="649">
        <v>0.29152288072018001</v>
      </c>
      <c r="X168" s="649">
        <v>0.46521706074659802</v>
      </c>
      <c r="Y168" s="650">
        <v>0.54028815368196403</v>
      </c>
      <c r="Z168" s="651">
        <v>0.67435064935064903</v>
      </c>
      <c r="AA168" s="651">
        <v>0.67435064935064903</v>
      </c>
      <c r="AB168" s="651">
        <v>0.67381528882739505</v>
      </c>
    </row>
    <row r="169" spans="1:28">
      <c r="A169" s="652"/>
      <c r="B169" s="1066"/>
      <c r="C169" s="653">
        <v>0.185145182357078</v>
      </c>
      <c r="D169" s="653">
        <v>0.18317969456445299</v>
      </c>
      <c r="E169" s="653">
        <v>5.2628604440872098E-2</v>
      </c>
      <c r="F169" s="653">
        <v>3.55483271375465E-2</v>
      </c>
      <c r="G169" s="653"/>
      <c r="H169" s="653">
        <v>0.16741183562744899</v>
      </c>
      <c r="I169" s="653">
        <v>8.2594443886265495E-2</v>
      </c>
      <c r="J169" s="654">
        <v>2.3535617401788399E-2</v>
      </c>
      <c r="K169" s="654">
        <v>1.9340902240530498E-2</v>
      </c>
      <c r="L169" s="654">
        <v>1.9340902240530498E-2</v>
      </c>
      <c r="M169" s="654">
        <v>1.8154074148497901E-2</v>
      </c>
      <c r="N169" s="627"/>
      <c r="O169" s="627"/>
      <c r="P169" s="652"/>
      <c r="Q169" s="655"/>
      <c r="R169" s="653"/>
      <c r="S169" s="653"/>
      <c r="T169" s="653"/>
      <c r="U169" s="653"/>
      <c r="V169" s="659"/>
      <c r="W169" s="653"/>
      <c r="X169" s="653"/>
      <c r="Y169" s="656"/>
      <c r="Z169" s="657"/>
      <c r="AA169" s="657"/>
      <c r="AB169" s="657"/>
    </row>
    <row r="170" spans="1:28">
      <c r="A170" s="643" t="s">
        <v>347</v>
      </c>
      <c r="B170" s="1067">
        <v>264923</v>
      </c>
      <c r="C170" s="644">
        <v>100769</v>
      </c>
      <c r="D170" s="644">
        <v>87721</v>
      </c>
      <c r="E170" s="644">
        <v>73717</v>
      </c>
      <c r="F170" s="644">
        <v>33980</v>
      </c>
      <c r="G170" s="644">
        <v>24202</v>
      </c>
      <c r="H170" s="658" t="s">
        <v>68</v>
      </c>
      <c r="I170" s="644">
        <v>56755</v>
      </c>
      <c r="J170" s="646">
        <v>55480</v>
      </c>
      <c r="K170" s="647">
        <v>30203</v>
      </c>
      <c r="L170" s="647">
        <v>15919</v>
      </c>
      <c r="M170" s="647">
        <v>15104</v>
      </c>
      <c r="N170" s="627"/>
      <c r="O170" s="627"/>
      <c r="P170" s="643" t="s">
        <v>347</v>
      </c>
      <c r="Q170" s="651">
        <v>0.24003177678551399</v>
      </c>
      <c r="R170" s="649">
        <v>0.70589169288173903</v>
      </c>
      <c r="S170" s="649">
        <v>0.25911683485172998</v>
      </c>
      <c r="T170" s="649">
        <v>0.79608502787688096</v>
      </c>
      <c r="U170" s="649">
        <v>0.85391406709829298</v>
      </c>
      <c r="V170" s="649">
        <v>0.85901991570944503</v>
      </c>
      <c r="W170" s="658" t="s">
        <v>68</v>
      </c>
      <c r="X170" s="649">
        <v>0.74918509382433296</v>
      </c>
      <c r="Y170" s="650">
        <v>0.73934751261715903</v>
      </c>
      <c r="Z170" s="651">
        <v>0.88997781677316801</v>
      </c>
      <c r="AA170" s="651">
        <v>0.925183742697406</v>
      </c>
      <c r="AB170" s="651">
        <v>0.92823093220339004</v>
      </c>
    </row>
    <row r="171" spans="1:28">
      <c r="A171" s="652"/>
      <c r="B171" s="1066"/>
      <c r="C171" s="653">
        <v>0.38037090022383901</v>
      </c>
      <c r="D171" s="653">
        <v>0.33111885340268699</v>
      </c>
      <c r="E171" s="653">
        <v>0.27825821087636798</v>
      </c>
      <c r="F171" s="653">
        <v>0.128263684164833</v>
      </c>
      <c r="G171" s="653">
        <v>9.1354846502568698E-2</v>
      </c>
      <c r="H171" s="653"/>
      <c r="I171" s="653">
        <v>0.214232059881551</v>
      </c>
      <c r="J171" s="654">
        <v>0.20941934071409399</v>
      </c>
      <c r="K171" s="654">
        <v>0.114006711384063</v>
      </c>
      <c r="L171" s="654">
        <v>6.0089157981753197E-2</v>
      </c>
      <c r="M171" s="654">
        <v>5.7012792396281202E-2</v>
      </c>
      <c r="N171" s="627"/>
      <c r="O171" s="627"/>
      <c r="P171" s="652"/>
      <c r="Q171" s="661"/>
      <c r="R171" s="653"/>
      <c r="S171" s="653"/>
      <c r="T171" s="653"/>
      <c r="U171" s="653"/>
      <c r="V171" s="653"/>
      <c r="W171" s="738"/>
      <c r="X171" s="653"/>
      <c r="Y171" s="656"/>
      <c r="Z171" s="657"/>
      <c r="AA171" s="657"/>
      <c r="AB171" s="657"/>
    </row>
    <row r="172" spans="1:28">
      <c r="A172" s="643" t="s">
        <v>122</v>
      </c>
      <c r="B172" s="1067">
        <v>702013</v>
      </c>
      <c r="C172" s="644">
        <v>21089</v>
      </c>
      <c r="D172" s="644">
        <v>19706</v>
      </c>
      <c r="E172" s="644">
        <v>8350</v>
      </c>
      <c r="F172" s="644">
        <v>3892</v>
      </c>
      <c r="G172" s="644">
        <v>2541</v>
      </c>
      <c r="H172" s="644">
        <v>17775</v>
      </c>
      <c r="I172" s="658" t="s">
        <v>68</v>
      </c>
      <c r="J172" s="646">
        <v>5805</v>
      </c>
      <c r="K172" s="647">
        <v>2703</v>
      </c>
      <c r="L172" s="647">
        <v>1548</v>
      </c>
      <c r="M172" s="647">
        <v>1548</v>
      </c>
      <c r="N172" s="627"/>
      <c r="O172" s="627"/>
      <c r="P172" s="643" t="s">
        <v>122</v>
      </c>
      <c r="Q172" s="651">
        <v>4.0227958431109601E-2</v>
      </c>
      <c r="R172" s="649">
        <v>0.63402721798093797</v>
      </c>
      <c r="S172" s="649">
        <v>1.6647884438069901E-2</v>
      </c>
      <c r="T172" s="649">
        <v>0.86275449101796398</v>
      </c>
      <c r="U172" s="649">
        <v>0.81115107913669104</v>
      </c>
      <c r="V172" s="649">
        <v>0.84573002754820903</v>
      </c>
      <c r="W172" s="649">
        <v>0.65547116736990196</v>
      </c>
      <c r="X172" s="658" t="s">
        <v>68</v>
      </c>
      <c r="Y172" s="650">
        <v>0.50422049956933701</v>
      </c>
      <c r="Z172" s="651">
        <v>0.92008879023307399</v>
      </c>
      <c r="AA172" s="651">
        <v>0.91989664082687295</v>
      </c>
      <c r="AB172" s="651">
        <v>0.91989664082687295</v>
      </c>
    </row>
    <row r="173" spans="1:28">
      <c r="A173" s="662"/>
      <c r="B173" s="1069"/>
      <c r="C173" s="663">
        <v>3.0040754231047E-2</v>
      </c>
      <c r="D173" s="664">
        <v>2.8070705243350199E-2</v>
      </c>
      <c r="E173" s="664">
        <v>1.1894366628538201E-2</v>
      </c>
      <c r="F173" s="664">
        <v>5.5440568764396096E-3</v>
      </c>
      <c r="G173" s="664">
        <v>3.61959109019349E-3</v>
      </c>
      <c r="H173" s="664">
        <v>2.5320043930810401E-2</v>
      </c>
      <c r="I173" s="664"/>
      <c r="J173" s="665">
        <v>8.2690776381634003E-3</v>
      </c>
      <c r="K173" s="666">
        <v>3.8503560475375799E-3</v>
      </c>
      <c r="L173" s="666">
        <v>2.2050873701769101E-3</v>
      </c>
      <c r="M173" s="666">
        <v>2.2050873701769101E-3</v>
      </c>
      <c r="N173" s="627"/>
      <c r="O173" s="627"/>
      <c r="P173" s="662"/>
      <c r="Q173" s="667"/>
      <c r="R173" s="664"/>
      <c r="S173" s="664"/>
      <c r="T173" s="664"/>
      <c r="U173" s="664"/>
      <c r="V173" s="664"/>
      <c r="W173" s="664"/>
      <c r="X173" s="664"/>
      <c r="Y173" s="665"/>
      <c r="Z173" s="666"/>
      <c r="AA173" s="666"/>
      <c r="AB173" s="666"/>
    </row>
    <row r="174" spans="1:28">
      <c r="A174" s="668" t="s">
        <v>348</v>
      </c>
      <c r="B174" s="669">
        <v>1505763</v>
      </c>
      <c r="C174" s="670">
        <v>279746</v>
      </c>
      <c r="D174" s="670">
        <v>260841</v>
      </c>
      <c r="E174" s="670">
        <v>119641</v>
      </c>
      <c r="F174" s="670">
        <v>60312</v>
      </c>
      <c r="G174" s="670">
        <v>53454</v>
      </c>
      <c r="H174" s="670">
        <v>150680</v>
      </c>
      <c r="I174" s="670">
        <v>145725</v>
      </c>
      <c r="J174" s="671">
        <v>103386</v>
      </c>
      <c r="K174" s="672">
        <v>78243</v>
      </c>
      <c r="L174" s="672">
        <v>35630</v>
      </c>
      <c r="M174" s="672">
        <v>33832</v>
      </c>
      <c r="N174" s="627"/>
      <c r="O174" s="627"/>
      <c r="P174" s="668" t="s">
        <v>348</v>
      </c>
      <c r="Q174" s="673">
        <v>0.15077156959100199</v>
      </c>
      <c r="R174" s="674">
        <v>0.60219985272354204</v>
      </c>
      <c r="S174" s="674">
        <v>0.27694549722959999</v>
      </c>
      <c r="T174" s="674">
        <v>0.75266839962888998</v>
      </c>
      <c r="U174" s="674">
        <v>0.82898925586947902</v>
      </c>
      <c r="V174" s="674">
        <v>0.80018333520410101</v>
      </c>
      <c r="W174" s="674">
        <v>0.55145341120254798</v>
      </c>
      <c r="X174" s="674">
        <v>0.67413278435409196</v>
      </c>
      <c r="Y174" s="675">
        <v>0.73325208442148804</v>
      </c>
      <c r="Z174" s="673">
        <v>0.81754278337998298</v>
      </c>
      <c r="AA174" s="673">
        <v>0.87987650856020205</v>
      </c>
      <c r="AB174" s="673">
        <v>0.88448805864270497</v>
      </c>
    </row>
    <row r="175" spans="1:28">
      <c r="A175" s="676" t="s">
        <v>349</v>
      </c>
      <c r="B175" s="677"/>
      <c r="C175" s="678">
        <v>0.178195918934935</v>
      </c>
      <c r="D175" s="678">
        <v>0.166333796650973</v>
      </c>
      <c r="E175" s="678">
        <v>7.6296231562711495E-2</v>
      </c>
      <c r="F175" s="678">
        <v>3.8460679769263997E-2</v>
      </c>
      <c r="G175" s="678">
        <v>3.4079042967342203E-2</v>
      </c>
      <c r="H175" s="678">
        <v>9.5997331086274701E-2</v>
      </c>
      <c r="I175" s="678">
        <v>9.2933566119084293E-2</v>
      </c>
      <c r="J175" s="679">
        <v>6.4200005230662702E-2</v>
      </c>
      <c r="K175" s="680">
        <v>4.9855231842743299E-2</v>
      </c>
      <c r="L175" s="680">
        <v>2.2685766665242101E-2</v>
      </c>
      <c r="M175" s="680">
        <v>2.15382103096361E-2</v>
      </c>
      <c r="N175" s="627"/>
      <c r="O175" s="627"/>
      <c r="P175" s="676" t="s">
        <v>349</v>
      </c>
      <c r="Q175" s="681"/>
      <c r="R175" s="682"/>
      <c r="S175" s="682"/>
      <c r="T175" s="682"/>
      <c r="U175" s="682"/>
      <c r="V175" s="682"/>
      <c r="W175" s="682"/>
      <c r="X175" s="682"/>
      <c r="Y175" s="683"/>
      <c r="Z175" s="684"/>
      <c r="AA175" s="684"/>
      <c r="AB175" s="684"/>
    </row>
    <row r="176" spans="1:28">
      <c r="A176" s="643" t="s">
        <v>51</v>
      </c>
      <c r="B176" s="1067">
        <v>88645</v>
      </c>
      <c r="C176" s="644">
        <v>19531</v>
      </c>
      <c r="D176" s="644">
        <v>19531</v>
      </c>
      <c r="E176" s="644">
        <v>4643</v>
      </c>
      <c r="F176" s="644">
        <v>2359</v>
      </c>
      <c r="G176" s="644">
        <v>1176</v>
      </c>
      <c r="H176" s="644">
        <v>16692</v>
      </c>
      <c r="I176" s="644">
        <v>6421</v>
      </c>
      <c r="J176" s="685" t="s">
        <v>68</v>
      </c>
      <c r="K176" s="686">
        <v>1354</v>
      </c>
      <c r="L176" s="686">
        <v>533</v>
      </c>
      <c r="M176" s="686">
        <v>471</v>
      </c>
      <c r="N176" s="627"/>
      <c r="O176" s="627"/>
      <c r="P176" s="643" t="s">
        <v>51</v>
      </c>
      <c r="Q176" s="651">
        <v>8.4710882451627306E-2</v>
      </c>
      <c r="R176" s="649">
        <v>0.23623982386974601</v>
      </c>
      <c r="S176" s="649">
        <v>2.4829412681103</v>
      </c>
      <c r="T176" s="649">
        <v>0.679302175317683</v>
      </c>
      <c r="U176" s="649">
        <v>0.48579906740144102</v>
      </c>
      <c r="V176" s="649">
        <v>0.52040816326530603</v>
      </c>
      <c r="W176" s="649">
        <v>0.24652528157201101</v>
      </c>
      <c r="X176" s="649">
        <v>0.30104345117582898</v>
      </c>
      <c r="Y176" s="658" t="s">
        <v>68</v>
      </c>
      <c r="Z176" s="651">
        <v>0.72378138847858198</v>
      </c>
      <c r="AA176" s="651">
        <v>0.78424015009380899</v>
      </c>
      <c r="AB176" s="651">
        <v>0.81740976645435204</v>
      </c>
    </row>
    <row r="177" spans="1:28">
      <c r="A177" s="687"/>
      <c r="B177" s="1064"/>
      <c r="C177" s="688">
        <v>0.22032827570647001</v>
      </c>
      <c r="D177" s="688">
        <v>0.22032827570647001</v>
      </c>
      <c r="E177" s="688">
        <v>5.2377460657679502E-2</v>
      </c>
      <c r="F177" s="688">
        <v>2.6611766033053201E-2</v>
      </c>
      <c r="G177" s="688">
        <v>1.32663996841333E-2</v>
      </c>
      <c r="H177" s="688">
        <v>0.18830165265948401</v>
      </c>
      <c r="I177" s="688">
        <v>7.2434993513452506E-2</v>
      </c>
      <c r="J177" s="689"/>
      <c r="K177" s="690">
        <v>1.52744091601331E-2</v>
      </c>
      <c r="L177" s="690">
        <v>6.0127474758869598E-3</v>
      </c>
      <c r="M177" s="690">
        <v>5.3133284449207504E-3</v>
      </c>
      <c r="N177" s="627"/>
      <c r="O177" s="627"/>
      <c r="P177" s="687"/>
      <c r="Q177" s="642"/>
      <c r="R177" s="688"/>
      <c r="S177" s="688"/>
      <c r="T177" s="688"/>
      <c r="U177" s="688"/>
      <c r="V177" s="688"/>
      <c r="W177" s="688"/>
      <c r="X177" s="688"/>
      <c r="Y177" s="689"/>
      <c r="Z177" s="690"/>
      <c r="AA177" s="690"/>
      <c r="AB177" s="690"/>
    </row>
    <row r="178" spans="1:28">
      <c r="A178" s="668" t="s">
        <v>350</v>
      </c>
      <c r="B178" s="691">
        <v>1594408</v>
      </c>
      <c r="C178" s="692">
        <v>299277</v>
      </c>
      <c r="D178" s="693">
        <v>280372</v>
      </c>
      <c r="E178" s="693">
        <v>124284</v>
      </c>
      <c r="F178" s="693">
        <v>62671</v>
      </c>
      <c r="G178" s="693">
        <v>54630</v>
      </c>
      <c r="H178" s="693">
        <v>167372</v>
      </c>
      <c r="I178" s="693">
        <v>152146</v>
      </c>
      <c r="J178" s="694">
        <v>103386</v>
      </c>
      <c r="K178" s="695">
        <v>79597</v>
      </c>
      <c r="L178" s="695">
        <v>36163</v>
      </c>
      <c r="M178" s="695">
        <v>34303</v>
      </c>
      <c r="N178" s="627"/>
      <c r="O178" s="627"/>
      <c r="P178" s="668" t="s">
        <v>350</v>
      </c>
      <c r="Q178" s="696">
        <v>0.14722515930814101</v>
      </c>
      <c r="R178" s="697">
        <v>0.57831707749008399</v>
      </c>
      <c r="S178" s="698">
        <v>0.34519672439305399</v>
      </c>
      <c r="T178" s="698">
        <v>0.74992758520807201</v>
      </c>
      <c r="U178" s="698">
        <v>0.81607122911713503</v>
      </c>
      <c r="V178" s="698">
        <v>0.79416071755445705</v>
      </c>
      <c r="W178" s="698">
        <v>0.52104294625146397</v>
      </c>
      <c r="X178" s="698">
        <v>0.65838733847751496</v>
      </c>
      <c r="Y178" s="699">
        <v>0.73325208442148804</v>
      </c>
      <c r="Z178" s="700">
        <v>0.81594783723004605</v>
      </c>
      <c r="AA178" s="700">
        <v>0.87846694134889203</v>
      </c>
      <c r="AB178" s="700">
        <v>0.88356703495321098</v>
      </c>
    </row>
    <row r="179" spans="1:28" ht="15.75" thickBot="1">
      <c r="A179" s="701"/>
      <c r="B179" s="740"/>
      <c r="C179" s="703">
        <v>0.18770415100777199</v>
      </c>
      <c r="D179" s="703">
        <v>0.17584708556404599</v>
      </c>
      <c r="E179" s="703">
        <v>7.7949935022905106E-2</v>
      </c>
      <c r="F179" s="703">
        <v>3.9306752098584599E-2</v>
      </c>
      <c r="G179" s="703">
        <v>3.4263500935770498E-2</v>
      </c>
      <c r="H179" s="703">
        <v>0.104974385477243</v>
      </c>
      <c r="I179" s="703">
        <v>9.54247595345733E-2</v>
      </c>
      <c r="J179" s="704">
        <v>6.4842875851099602E-2</v>
      </c>
      <c r="K179" s="705">
        <v>4.9922604502737097E-2</v>
      </c>
      <c r="L179" s="705">
        <v>2.2681145603885601E-2</v>
      </c>
      <c r="M179" s="705">
        <v>2.1514568416616101E-2</v>
      </c>
      <c r="N179" s="706"/>
      <c r="O179" s="627"/>
      <c r="P179" s="701"/>
      <c r="Q179" s="702"/>
      <c r="R179" s="703"/>
      <c r="S179" s="703"/>
      <c r="T179" s="703"/>
      <c r="U179" s="703"/>
      <c r="V179" s="703"/>
      <c r="W179" s="703"/>
      <c r="X179" s="703"/>
      <c r="Y179" s="704"/>
      <c r="Z179" s="705"/>
      <c r="AA179" s="705"/>
      <c r="AB179" s="705"/>
    </row>
    <row r="180" spans="1:28">
      <c r="A180" s="623"/>
      <c r="B180" s="964"/>
      <c r="C180" s="623"/>
      <c r="D180" s="623"/>
      <c r="E180" s="623"/>
      <c r="F180" s="623"/>
      <c r="G180" s="623"/>
      <c r="H180" s="965"/>
      <c r="I180" s="965"/>
      <c r="J180" s="965"/>
      <c r="K180" s="965"/>
      <c r="L180" s="965"/>
      <c r="M180" s="965"/>
      <c r="N180" s="623"/>
      <c r="O180" s="623"/>
      <c r="P180" s="623"/>
      <c r="Q180" s="623"/>
      <c r="R180" s="623"/>
      <c r="S180" s="623"/>
      <c r="T180" s="623"/>
      <c r="U180" s="623"/>
      <c r="V180" s="965"/>
      <c r="W180" s="965"/>
      <c r="X180" s="965"/>
      <c r="Y180" s="965"/>
      <c r="Z180" s="965"/>
      <c r="AA180" s="965"/>
      <c r="AB180" s="965"/>
    </row>
    <row r="181" spans="1:28">
      <c r="A181" s="623"/>
      <c r="B181" s="964"/>
      <c r="C181" s="623"/>
      <c r="D181" s="623"/>
      <c r="E181" s="623"/>
      <c r="F181" s="623"/>
      <c r="G181" s="965"/>
      <c r="H181" s="965"/>
      <c r="I181" s="965"/>
      <c r="J181" s="965"/>
      <c r="K181" s="965"/>
      <c r="L181" s="965"/>
      <c r="M181" s="965"/>
      <c r="N181" s="965"/>
      <c r="O181" s="623"/>
      <c r="P181" s="623" t="s">
        <v>355</v>
      </c>
      <c r="Q181" s="623" t="s">
        <v>356</v>
      </c>
      <c r="R181" s="623"/>
      <c r="S181" s="623"/>
      <c r="T181" s="623"/>
      <c r="U181" s="623"/>
      <c r="V181" s="965"/>
      <c r="W181" s="965"/>
      <c r="X181" s="965"/>
      <c r="Y181" s="965"/>
      <c r="Z181" s="965"/>
      <c r="AA181" s="965"/>
      <c r="AB181" s="965"/>
    </row>
    <row r="182" spans="1:28">
      <c r="A182" s="625" t="s">
        <v>324</v>
      </c>
      <c r="B182" s="626"/>
      <c r="C182" s="625">
        <v>2012</v>
      </c>
      <c r="D182" s="623"/>
      <c r="E182" s="623"/>
      <c r="F182" s="623"/>
      <c r="G182" s="623"/>
      <c r="H182" s="623"/>
      <c r="I182" s="623"/>
      <c r="J182" s="623"/>
      <c r="K182" s="623"/>
      <c r="L182" s="623"/>
      <c r="M182" s="623"/>
      <c r="N182" s="623"/>
      <c r="O182" s="623"/>
      <c r="P182" s="625" t="s">
        <v>324</v>
      </c>
      <c r="Q182" s="625"/>
      <c r="R182" s="625">
        <v>2012</v>
      </c>
      <c r="S182" s="623"/>
      <c r="T182" s="623"/>
      <c r="U182" s="623"/>
      <c r="V182" s="627"/>
      <c r="W182" s="627"/>
      <c r="X182" s="627"/>
      <c r="Y182" s="627"/>
      <c r="Z182" s="627"/>
      <c r="AA182" s="627"/>
      <c r="AB182" s="627"/>
    </row>
    <row r="183" spans="1:28" ht="15.75" thickBot="1">
      <c r="A183" s="623"/>
      <c r="B183" s="964"/>
      <c r="C183" s="623"/>
      <c r="D183" s="623"/>
      <c r="E183" s="623"/>
      <c r="F183" s="623"/>
      <c r="G183" s="627"/>
      <c r="H183" s="627"/>
      <c r="I183" s="627"/>
      <c r="J183" s="627"/>
      <c r="K183" s="627"/>
      <c r="L183" s="627"/>
      <c r="M183" s="627"/>
      <c r="N183" s="627"/>
      <c r="O183" s="623"/>
      <c r="P183" s="623"/>
      <c r="Q183" s="623"/>
      <c r="R183" s="623"/>
      <c r="S183" s="623"/>
      <c r="T183" s="623"/>
      <c r="U183" s="623"/>
      <c r="V183" s="627"/>
      <c r="W183" s="627"/>
      <c r="X183" s="627"/>
      <c r="Y183" s="627"/>
      <c r="Z183" s="627"/>
      <c r="AA183" s="627"/>
      <c r="AB183" s="627"/>
    </row>
    <row r="184" spans="1:28">
      <c r="A184" s="629" t="s">
        <v>325</v>
      </c>
      <c r="B184" s="630" t="s">
        <v>326</v>
      </c>
      <c r="C184" s="631"/>
      <c r="D184" s="631"/>
      <c r="E184" s="631" t="s">
        <v>327</v>
      </c>
      <c r="F184" s="631"/>
      <c r="G184" s="631"/>
      <c r="H184" s="631"/>
      <c r="I184" s="631"/>
      <c r="J184" s="631"/>
      <c r="K184" s="629" t="s">
        <v>328</v>
      </c>
      <c r="L184" s="629" t="s">
        <v>329</v>
      </c>
      <c r="M184" s="629" t="s">
        <v>330</v>
      </c>
      <c r="N184" s="623"/>
      <c r="O184" s="623"/>
      <c r="P184" s="629" t="s">
        <v>325</v>
      </c>
      <c r="Q184" s="632" t="s">
        <v>326</v>
      </c>
      <c r="R184" s="631"/>
      <c r="S184" s="631"/>
      <c r="T184" s="631" t="s">
        <v>331</v>
      </c>
      <c r="U184" s="631"/>
      <c r="V184" s="631"/>
      <c r="W184" s="631"/>
      <c r="X184" s="631"/>
      <c r="Y184" s="631"/>
      <c r="Z184" s="629" t="s">
        <v>328</v>
      </c>
      <c r="AA184" s="629" t="s">
        <v>329</v>
      </c>
      <c r="AB184" s="629" t="s">
        <v>330</v>
      </c>
    </row>
    <row r="185" spans="1:28">
      <c r="A185" s="633" t="s">
        <v>332</v>
      </c>
      <c r="B185" s="1063" t="s">
        <v>333</v>
      </c>
      <c r="C185" s="634"/>
      <c r="D185" s="634"/>
      <c r="E185" s="634" t="s">
        <v>334</v>
      </c>
      <c r="F185" s="634"/>
      <c r="G185" s="634"/>
      <c r="H185" s="634"/>
      <c r="I185" s="634"/>
      <c r="J185" s="634"/>
      <c r="K185" s="635" t="s">
        <v>335</v>
      </c>
      <c r="L185" s="635" t="s">
        <v>335</v>
      </c>
      <c r="M185" s="635" t="s">
        <v>335</v>
      </c>
      <c r="N185" s="623"/>
      <c r="O185" s="623"/>
      <c r="P185" s="633" t="s">
        <v>332</v>
      </c>
      <c r="Q185" s="636" t="s">
        <v>333</v>
      </c>
      <c r="R185" s="634"/>
      <c r="S185" s="634"/>
      <c r="T185" s="634" t="s">
        <v>336</v>
      </c>
      <c r="U185" s="634"/>
      <c r="V185" s="634"/>
      <c r="W185" s="634"/>
      <c r="X185" s="634"/>
      <c r="Y185" s="634"/>
      <c r="Z185" s="635" t="s">
        <v>335</v>
      </c>
      <c r="AA185" s="635" t="s">
        <v>335</v>
      </c>
      <c r="AB185" s="635" t="s">
        <v>335</v>
      </c>
    </row>
    <row r="186" spans="1:28">
      <c r="A186" s="633" t="s">
        <v>337</v>
      </c>
      <c r="B186" s="1063" t="s">
        <v>53</v>
      </c>
      <c r="C186" s="637" t="s">
        <v>338</v>
      </c>
      <c r="D186" s="637" t="s">
        <v>339</v>
      </c>
      <c r="E186" s="637"/>
      <c r="F186" s="637"/>
      <c r="G186" s="637"/>
      <c r="H186" s="637"/>
      <c r="I186" s="637"/>
      <c r="J186" s="638" t="s">
        <v>164</v>
      </c>
      <c r="K186" s="633" t="s">
        <v>340</v>
      </c>
      <c r="L186" s="633" t="s">
        <v>341</v>
      </c>
      <c r="M186" s="633" t="s">
        <v>341</v>
      </c>
      <c r="N186" s="623"/>
      <c r="O186" s="623"/>
      <c r="P186" s="633" t="s">
        <v>337</v>
      </c>
      <c r="Q186" s="636" t="s">
        <v>53</v>
      </c>
      <c r="R186" s="637" t="s">
        <v>338</v>
      </c>
      <c r="S186" s="637" t="s">
        <v>339</v>
      </c>
      <c r="T186" s="637"/>
      <c r="U186" s="637"/>
      <c r="V186" s="637"/>
      <c r="W186" s="637"/>
      <c r="X186" s="637"/>
      <c r="Y186" s="638" t="s">
        <v>164</v>
      </c>
      <c r="Z186" s="633" t="s">
        <v>340</v>
      </c>
      <c r="AA186" s="633" t="s">
        <v>341</v>
      </c>
      <c r="AB186" s="633" t="s">
        <v>341</v>
      </c>
    </row>
    <row r="187" spans="1:28">
      <c r="A187" s="639"/>
      <c r="B187" s="1064"/>
      <c r="C187" s="640" t="s">
        <v>342</v>
      </c>
      <c r="D187" s="640" t="s">
        <v>343</v>
      </c>
      <c r="E187" s="640" t="s">
        <v>127</v>
      </c>
      <c r="F187" s="640" t="s">
        <v>56</v>
      </c>
      <c r="G187" s="640" t="s">
        <v>344</v>
      </c>
      <c r="H187" s="640" t="s">
        <v>345</v>
      </c>
      <c r="I187" s="640" t="s">
        <v>122</v>
      </c>
      <c r="J187" s="634" t="s">
        <v>346</v>
      </c>
      <c r="K187" s="641" t="s">
        <v>361</v>
      </c>
      <c r="L187" s="641" t="s">
        <v>362</v>
      </c>
      <c r="M187" s="641" t="s">
        <v>363</v>
      </c>
      <c r="N187" s="623"/>
      <c r="O187" s="623"/>
      <c r="P187" s="639"/>
      <c r="Q187" s="642"/>
      <c r="R187" s="640" t="s">
        <v>342</v>
      </c>
      <c r="S187" s="640" t="s">
        <v>343</v>
      </c>
      <c r="T187" s="640" t="s">
        <v>127</v>
      </c>
      <c r="U187" s="640" t="s">
        <v>56</v>
      </c>
      <c r="V187" s="640" t="s">
        <v>344</v>
      </c>
      <c r="W187" s="640" t="s">
        <v>345</v>
      </c>
      <c r="X187" s="640" t="s">
        <v>122</v>
      </c>
      <c r="Y187" s="634" t="s">
        <v>346</v>
      </c>
      <c r="Z187" s="641" t="s">
        <v>361</v>
      </c>
      <c r="AA187" s="641" t="s">
        <v>362</v>
      </c>
      <c r="AB187" s="641" t="s">
        <v>363</v>
      </c>
    </row>
    <row r="188" spans="1:28">
      <c r="A188" s="643" t="s">
        <v>127</v>
      </c>
      <c r="B188" s="1065">
        <v>126222</v>
      </c>
      <c r="C188" s="644">
        <v>51911</v>
      </c>
      <c r="D188" s="644">
        <v>49901</v>
      </c>
      <c r="E188" s="645" t="s">
        <v>68</v>
      </c>
      <c r="F188" s="644">
        <v>15996</v>
      </c>
      <c r="G188" s="644">
        <v>10022</v>
      </c>
      <c r="H188" s="644">
        <v>43844</v>
      </c>
      <c r="I188" s="644">
        <v>30788</v>
      </c>
      <c r="J188" s="646">
        <v>20012</v>
      </c>
      <c r="K188" s="647">
        <v>14728</v>
      </c>
      <c r="L188" s="647">
        <v>7077</v>
      </c>
      <c r="M188" s="647">
        <v>6659</v>
      </c>
      <c r="N188" s="623"/>
      <c r="O188" s="623"/>
      <c r="P188" s="643" t="s">
        <v>127</v>
      </c>
      <c r="Q188" s="648">
        <v>0.37434356442727301</v>
      </c>
      <c r="R188" s="649">
        <v>0.70333840611816401</v>
      </c>
      <c r="S188" s="649">
        <v>0.71215005711308399</v>
      </c>
      <c r="T188" s="645" t="s">
        <v>68</v>
      </c>
      <c r="U188" s="649">
        <v>0.85940235058764702</v>
      </c>
      <c r="V188" s="649">
        <v>0.86779086010776296</v>
      </c>
      <c r="W188" s="649">
        <v>0.73512909406076099</v>
      </c>
      <c r="X188" s="649">
        <v>0.75496946862413905</v>
      </c>
      <c r="Y188" s="650">
        <v>0.82115730561663003</v>
      </c>
      <c r="Z188" s="651">
        <v>0.87588267246061902</v>
      </c>
      <c r="AA188" s="651">
        <v>0.910414017238943</v>
      </c>
      <c r="AB188" s="651">
        <v>0.91289983481003201</v>
      </c>
    </row>
    <row r="189" spans="1:28">
      <c r="A189" s="652"/>
      <c r="B189" s="1066"/>
      <c r="C189" s="653">
        <v>0.41126744941452398</v>
      </c>
      <c r="D189" s="653">
        <v>0.39534312560409401</v>
      </c>
      <c r="E189" s="653"/>
      <c r="F189" s="653">
        <v>0.126729096354043</v>
      </c>
      <c r="G189" s="653">
        <v>7.9399787675682496E-2</v>
      </c>
      <c r="H189" s="653">
        <v>0.34735624534550202</v>
      </c>
      <c r="I189" s="653">
        <v>0.24391944352014699</v>
      </c>
      <c r="J189" s="654">
        <v>0.158546053778264</v>
      </c>
      <c r="K189" s="654">
        <v>0.116683304019901</v>
      </c>
      <c r="L189" s="654">
        <v>5.6067880401197902E-2</v>
      </c>
      <c r="M189" s="654">
        <v>5.2756254852561399E-2</v>
      </c>
      <c r="N189" s="623"/>
      <c r="O189" s="623"/>
      <c r="P189" s="652"/>
      <c r="Q189" s="655"/>
      <c r="R189" s="653"/>
      <c r="S189" s="653"/>
      <c r="T189" s="653"/>
      <c r="U189" s="653"/>
      <c r="V189" s="653"/>
      <c r="W189" s="653"/>
      <c r="X189" s="653"/>
      <c r="Y189" s="656"/>
      <c r="Z189" s="657"/>
      <c r="AA189" s="657"/>
      <c r="AB189" s="657"/>
    </row>
    <row r="190" spans="1:28">
      <c r="A190" s="643" t="s">
        <v>56</v>
      </c>
      <c r="B190" s="1067">
        <v>269132</v>
      </c>
      <c r="C190" s="644">
        <v>77264</v>
      </c>
      <c r="D190" s="644">
        <v>75116</v>
      </c>
      <c r="E190" s="644">
        <v>30296</v>
      </c>
      <c r="F190" s="645" t="s">
        <v>68</v>
      </c>
      <c r="G190" s="644">
        <v>18164</v>
      </c>
      <c r="H190" s="644">
        <v>62237</v>
      </c>
      <c r="I190" s="644">
        <v>47256</v>
      </c>
      <c r="J190" s="646">
        <v>18997</v>
      </c>
      <c r="K190" s="647">
        <v>27704</v>
      </c>
      <c r="L190" s="647">
        <v>8722</v>
      </c>
      <c r="M190" s="647">
        <v>8322</v>
      </c>
      <c r="N190" s="623"/>
      <c r="O190" s="623"/>
      <c r="P190" s="643" t="s">
        <v>56</v>
      </c>
      <c r="Q190" s="651">
        <v>0.17265468015586</v>
      </c>
      <c r="R190" s="649">
        <v>0.49811037481880299</v>
      </c>
      <c r="S190" s="649">
        <v>0.48759252356355498</v>
      </c>
      <c r="T190" s="649">
        <v>0.69504224980195395</v>
      </c>
      <c r="U190" s="645" t="s">
        <v>68</v>
      </c>
      <c r="V190" s="649">
        <v>0.65850033032371702</v>
      </c>
      <c r="W190" s="649">
        <v>0.50085961726947004</v>
      </c>
      <c r="X190" s="649">
        <v>0.57427628237684103</v>
      </c>
      <c r="Y190" s="650">
        <v>0.71153340001052801</v>
      </c>
      <c r="Z190" s="651">
        <v>0.71007796708056603</v>
      </c>
      <c r="AA190" s="651">
        <v>0.81346021554689296</v>
      </c>
      <c r="AB190" s="651">
        <v>0.82311944244172097</v>
      </c>
    </row>
    <row r="191" spans="1:28">
      <c r="A191" s="652"/>
      <c r="B191" s="1066"/>
      <c r="C191" s="653">
        <v>0.28708589093827602</v>
      </c>
      <c r="D191" s="653">
        <v>0.27910467725874299</v>
      </c>
      <c r="E191" s="653">
        <v>0.11256929685061599</v>
      </c>
      <c r="F191" s="653"/>
      <c r="G191" s="653">
        <v>6.7491045286327905E-2</v>
      </c>
      <c r="H191" s="653">
        <v>0.23125083602098601</v>
      </c>
      <c r="I191" s="653">
        <v>0.17558670094972001</v>
      </c>
      <c r="J191" s="654">
        <v>7.0586180758884107E-2</v>
      </c>
      <c r="K191" s="654">
        <v>0.10293833509207399</v>
      </c>
      <c r="L191" s="654">
        <v>3.2407889065588599E-2</v>
      </c>
      <c r="M191" s="654">
        <v>3.09216295349494E-2</v>
      </c>
      <c r="N191" s="623"/>
      <c r="O191" s="623"/>
      <c r="P191" s="652"/>
      <c r="Q191" s="655"/>
      <c r="R191" s="653"/>
      <c r="S191" s="653"/>
      <c r="T191" s="653"/>
      <c r="U191" s="653"/>
      <c r="V191" s="653"/>
      <c r="W191" s="653"/>
      <c r="X191" s="653"/>
      <c r="Y191" s="656"/>
      <c r="Z191" s="657"/>
      <c r="AA191" s="657"/>
      <c r="AB191" s="657"/>
    </row>
    <row r="192" spans="1:28">
      <c r="A192" s="643" t="s">
        <v>344</v>
      </c>
      <c r="B192" s="1067">
        <v>147694</v>
      </c>
      <c r="C192" s="644">
        <v>25093</v>
      </c>
      <c r="D192" s="644">
        <v>24858</v>
      </c>
      <c r="E192" s="644">
        <v>7783</v>
      </c>
      <c r="F192" s="644">
        <v>6057</v>
      </c>
      <c r="G192" s="645" t="s">
        <v>68</v>
      </c>
      <c r="H192" s="644">
        <v>22583</v>
      </c>
      <c r="I192" s="644">
        <v>11674</v>
      </c>
      <c r="J192" s="646">
        <v>3415</v>
      </c>
      <c r="K192" s="647">
        <v>3451</v>
      </c>
      <c r="L192" s="647">
        <v>3451</v>
      </c>
      <c r="M192" s="647">
        <v>3183</v>
      </c>
      <c r="N192" s="623"/>
      <c r="O192" s="623"/>
      <c r="P192" s="643" t="s">
        <v>344</v>
      </c>
      <c r="Q192" s="651">
        <v>9.6889706609088397E-2</v>
      </c>
      <c r="R192" s="649">
        <v>0.30833300123540403</v>
      </c>
      <c r="S192" s="649">
        <v>0.30473087134926402</v>
      </c>
      <c r="T192" s="649">
        <v>0.47282538866760898</v>
      </c>
      <c r="U192" s="649">
        <v>0.52649826646854903</v>
      </c>
      <c r="V192" s="645" t="s">
        <v>68</v>
      </c>
      <c r="W192" s="649">
        <v>0.29526635079484598</v>
      </c>
      <c r="X192" s="649">
        <v>0.430615041973617</v>
      </c>
      <c r="Y192" s="650">
        <v>0.55959004392386502</v>
      </c>
      <c r="Z192" s="651">
        <v>0.60938858301941501</v>
      </c>
      <c r="AA192" s="651">
        <v>0.60938858301941501</v>
      </c>
      <c r="AB192" s="651">
        <v>0.60885956644674799</v>
      </c>
    </row>
    <row r="193" spans="1:28">
      <c r="A193" s="652"/>
      <c r="B193" s="1066"/>
      <c r="C193" s="653">
        <v>0.16989857407883899</v>
      </c>
      <c r="D193" s="653">
        <v>0.16830744647717599</v>
      </c>
      <c r="E193" s="653">
        <v>5.2696792015924802E-2</v>
      </c>
      <c r="F193" s="653">
        <v>4.1010467588392198E-2</v>
      </c>
      <c r="G193" s="653"/>
      <c r="H193" s="653">
        <v>0.15290397714192899</v>
      </c>
      <c r="I193" s="653">
        <v>7.9041802646011294E-2</v>
      </c>
      <c r="J193" s="654">
        <v>2.3122130892250198E-2</v>
      </c>
      <c r="K193" s="654">
        <v>2.3365878099313401E-2</v>
      </c>
      <c r="L193" s="654">
        <v>2.3365878099313401E-2</v>
      </c>
      <c r="M193" s="654">
        <v>2.15513155578426E-2</v>
      </c>
      <c r="N193" s="623"/>
      <c r="O193" s="623"/>
      <c r="P193" s="652"/>
      <c r="Q193" s="655"/>
      <c r="R193" s="653"/>
      <c r="S193" s="653"/>
      <c r="T193" s="653"/>
      <c r="U193" s="653"/>
      <c r="V193" s="659"/>
      <c r="W193" s="653"/>
      <c r="X193" s="653"/>
      <c r="Y193" s="656"/>
      <c r="Z193" s="657"/>
      <c r="AA193" s="657"/>
      <c r="AB193" s="657"/>
    </row>
    <row r="194" spans="1:28">
      <c r="A194" s="643" t="s">
        <v>347</v>
      </c>
      <c r="B194" s="1067">
        <v>250617</v>
      </c>
      <c r="C194" s="644">
        <v>94176</v>
      </c>
      <c r="D194" s="644">
        <v>81802</v>
      </c>
      <c r="E194" s="644">
        <v>68621</v>
      </c>
      <c r="F194" s="644">
        <v>32455</v>
      </c>
      <c r="G194" s="644">
        <v>22595</v>
      </c>
      <c r="H194" s="658" t="s">
        <v>68</v>
      </c>
      <c r="I194" s="644">
        <v>52715</v>
      </c>
      <c r="J194" s="646">
        <v>52631</v>
      </c>
      <c r="K194" s="647">
        <v>29104</v>
      </c>
      <c r="L194" s="647">
        <v>14781</v>
      </c>
      <c r="M194" s="647">
        <v>13985</v>
      </c>
      <c r="N194" s="623"/>
      <c r="O194" s="623"/>
      <c r="P194" s="643" t="s">
        <v>347</v>
      </c>
      <c r="Q194" s="651">
        <v>0.23543479135108999</v>
      </c>
      <c r="R194" s="649">
        <v>0.70301350662589202</v>
      </c>
      <c r="S194" s="649">
        <v>0.74136329185105498</v>
      </c>
      <c r="T194" s="649">
        <v>0.79156526427769902</v>
      </c>
      <c r="U194" s="649">
        <v>0.85694037898628905</v>
      </c>
      <c r="V194" s="649">
        <v>0.85948218632440798</v>
      </c>
      <c r="W194" s="658" t="s">
        <v>68</v>
      </c>
      <c r="X194" s="649">
        <v>0.74016883240064502</v>
      </c>
      <c r="Y194" s="650">
        <v>0.72565598221580396</v>
      </c>
      <c r="Z194" s="651">
        <v>0.88334936778449702</v>
      </c>
      <c r="AA194" s="651">
        <v>0.93166903457140904</v>
      </c>
      <c r="AB194" s="651">
        <v>0.93428673578834498</v>
      </c>
    </row>
    <row r="195" spans="1:28">
      <c r="A195" s="652"/>
      <c r="B195" s="1066"/>
      <c r="C195" s="653">
        <v>0.375776583392188</v>
      </c>
      <c r="D195" s="653">
        <v>0.32640243878108799</v>
      </c>
      <c r="E195" s="653">
        <v>0.27380824126056902</v>
      </c>
      <c r="F195" s="653">
        <v>0.12950039303000199</v>
      </c>
      <c r="G195" s="653">
        <v>9.0157491311443405E-2</v>
      </c>
      <c r="H195" s="653"/>
      <c r="I195" s="653">
        <v>0.21034087871134</v>
      </c>
      <c r="J195" s="654">
        <v>0.21000570591779499</v>
      </c>
      <c r="K195" s="654">
        <v>0.116129392658918</v>
      </c>
      <c r="L195" s="654">
        <v>5.8978441207100898E-2</v>
      </c>
      <c r="M195" s="654">
        <v>5.58022799730266E-2</v>
      </c>
      <c r="N195" s="623"/>
      <c r="O195" s="623"/>
      <c r="P195" s="652"/>
      <c r="Q195" s="661"/>
      <c r="R195" s="653"/>
      <c r="S195" s="653"/>
      <c r="T195" s="653"/>
      <c r="U195" s="653"/>
      <c r="V195" s="653"/>
      <c r="W195" s="738"/>
      <c r="X195" s="653"/>
      <c r="Y195" s="656"/>
      <c r="Z195" s="657"/>
      <c r="AA195" s="657"/>
      <c r="AB195" s="657"/>
    </row>
    <row r="196" spans="1:28">
      <c r="A196" s="643" t="s">
        <v>122</v>
      </c>
      <c r="B196" s="1067">
        <v>533245</v>
      </c>
      <c r="C196" s="644">
        <v>19304</v>
      </c>
      <c r="D196" s="644">
        <v>18111</v>
      </c>
      <c r="E196" s="644">
        <v>7796</v>
      </c>
      <c r="F196" s="644">
        <v>3504</v>
      </c>
      <c r="G196" s="644">
        <v>2096</v>
      </c>
      <c r="H196" s="644">
        <v>16567</v>
      </c>
      <c r="I196" s="658" t="s">
        <v>68</v>
      </c>
      <c r="J196" s="646">
        <v>6363</v>
      </c>
      <c r="K196" s="647">
        <v>2410</v>
      </c>
      <c r="L196" s="647">
        <v>1181</v>
      </c>
      <c r="M196" s="647">
        <v>1181</v>
      </c>
      <c r="N196" s="623"/>
      <c r="O196" s="623"/>
      <c r="P196" s="643" t="s">
        <v>122</v>
      </c>
      <c r="Q196" s="651">
        <v>4.42939385073126E-2</v>
      </c>
      <c r="R196" s="649">
        <v>0.60987360132614998</v>
      </c>
      <c r="S196" s="649">
        <v>0.63022472530506302</v>
      </c>
      <c r="T196" s="649">
        <v>0.86467419189327899</v>
      </c>
      <c r="U196" s="649">
        <v>0.77511415525114202</v>
      </c>
      <c r="V196" s="649">
        <v>0.87356870229007599</v>
      </c>
      <c r="W196" s="649">
        <v>0.62467555984789003</v>
      </c>
      <c r="X196" s="658" t="s">
        <v>68</v>
      </c>
      <c r="Y196" s="650">
        <v>0.42589973283042598</v>
      </c>
      <c r="Z196" s="651">
        <v>0.89460580912863097</v>
      </c>
      <c r="AA196" s="651">
        <v>0.91532599491956002</v>
      </c>
      <c r="AB196" s="651">
        <v>0.91532599491956002</v>
      </c>
    </row>
    <row r="197" spans="1:28">
      <c r="A197" s="662"/>
      <c r="B197" s="1069"/>
      <c r="C197" s="663">
        <v>3.6200995789927699E-2</v>
      </c>
      <c r="D197" s="664">
        <v>3.3963750246134503E-2</v>
      </c>
      <c r="E197" s="664">
        <v>1.4619921424485901E-2</v>
      </c>
      <c r="F197" s="664">
        <v>6.5710883365057296E-3</v>
      </c>
      <c r="G197" s="664">
        <v>3.93065101407421E-3</v>
      </c>
      <c r="H197" s="664">
        <v>3.1068270682331801E-2</v>
      </c>
      <c r="I197" s="664"/>
      <c r="J197" s="665">
        <v>1.1932601337096499E-2</v>
      </c>
      <c r="K197" s="666">
        <v>4.51949854194601E-3</v>
      </c>
      <c r="L197" s="666">
        <v>2.2147418166133799E-3</v>
      </c>
      <c r="M197" s="666">
        <v>2.2147418166133799E-3</v>
      </c>
      <c r="N197" s="623"/>
      <c r="O197" s="623"/>
      <c r="P197" s="662"/>
      <c r="Q197" s="667"/>
      <c r="R197" s="664"/>
      <c r="S197" s="664"/>
      <c r="T197" s="664"/>
      <c r="U197" s="664"/>
      <c r="V197" s="664"/>
      <c r="W197" s="664"/>
      <c r="X197" s="664"/>
      <c r="Y197" s="665"/>
      <c r="Z197" s="666"/>
      <c r="AA197" s="666"/>
      <c r="AB197" s="666"/>
    </row>
    <row r="198" spans="1:28">
      <c r="A198" s="668" t="s">
        <v>348</v>
      </c>
      <c r="B198" s="669">
        <v>1326910</v>
      </c>
      <c r="C198" s="670">
        <v>267748</v>
      </c>
      <c r="D198" s="670">
        <v>249788</v>
      </c>
      <c r="E198" s="670">
        <v>114496</v>
      </c>
      <c r="F198" s="670">
        <v>58012</v>
      </c>
      <c r="G198" s="670">
        <v>52877</v>
      </c>
      <c r="H198" s="670">
        <v>145231</v>
      </c>
      <c r="I198" s="670">
        <v>142433</v>
      </c>
      <c r="J198" s="671">
        <v>101418</v>
      </c>
      <c r="K198" s="672">
        <v>77397</v>
      </c>
      <c r="L198" s="672">
        <v>35212</v>
      </c>
      <c r="M198" s="672">
        <v>33330</v>
      </c>
      <c r="N198" s="623"/>
      <c r="O198" s="623"/>
      <c r="P198" s="668" t="s">
        <v>348</v>
      </c>
      <c r="Q198" s="673">
        <v>0.15806514726542401</v>
      </c>
      <c r="R198" s="674">
        <v>0.60024351255658304</v>
      </c>
      <c r="S198" s="674">
        <v>0.60770333242589702</v>
      </c>
      <c r="T198" s="674">
        <v>0.74933622135271105</v>
      </c>
      <c r="U198" s="674">
        <v>0.81817554988622998</v>
      </c>
      <c r="V198" s="674">
        <v>0.79257522174102202</v>
      </c>
      <c r="W198" s="674">
        <v>0.55373852689852698</v>
      </c>
      <c r="X198" s="674">
        <v>0.66295732028392296</v>
      </c>
      <c r="Y198" s="675">
        <v>0.71745646729377399</v>
      </c>
      <c r="Z198" s="673">
        <v>0.808041655361319</v>
      </c>
      <c r="AA198" s="673">
        <v>0.86598318754969905</v>
      </c>
      <c r="AB198" s="673">
        <v>0.87050705070507095</v>
      </c>
    </row>
    <row r="199" spans="1:28">
      <c r="A199" s="676" t="s">
        <v>349</v>
      </c>
      <c r="B199" s="677"/>
      <c r="C199" s="682">
        <v>0.20178309003625</v>
      </c>
      <c r="D199" s="682">
        <v>0.18824788418204699</v>
      </c>
      <c r="E199" s="682">
        <v>8.6287690951157195E-2</v>
      </c>
      <c r="F199" s="682">
        <v>4.3719619265813102E-2</v>
      </c>
      <c r="G199" s="682">
        <v>3.9849726055271303E-2</v>
      </c>
      <c r="H199" s="682">
        <v>0.109450527918246</v>
      </c>
      <c r="I199" s="682">
        <v>0.10734186945610499</v>
      </c>
      <c r="J199" s="683">
        <v>7.6431709761777405E-2</v>
      </c>
      <c r="K199" s="684">
        <v>5.8328748747089099E-2</v>
      </c>
      <c r="L199" s="684">
        <v>2.6536841232638199E-2</v>
      </c>
      <c r="M199" s="684">
        <v>2.5118508414285801E-2</v>
      </c>
      <c r="N199" s="623"/>
      <c r="O199" s="623"/>
      <c r="P199" s="676" t="s">
        <v>349</v>
      </c>
      <c r="Q199" s="681"/>
      <c r="R199" s="682"/>
      <c r="S199" s="682"/>
      <c r="T199" s="682"/>
      <c r="U199" s="682"/>
      <c r="V199" s="682"/>
      <c r="W199" s="682"/>
      <c r="X199" s="682"/>
      <c r="Y199" s="683"/>
      <c r="Z199" s="684"/>
      <c r="AA199" s="684"/>
      <c r="AB199" s="684"/>
    </row>
    <row r="200" spans="1:28">
      <c r="A200" s="643" t="s">
        <v>51</v>
      </c>
      <c r="B200" s="1067">
        <v>80343</v>
      </c>
      <c r="C200" s="644">
        <v>20022</v>
      </c>
      <c r="D200" s="644">
        <v>20022</v>
      </c>
      <c r="E200" s="644">
        <v>4837</v>
      </c>
      <c r="F200" s="644">
        <v>2265</v>
      </c>
      <c r="G200" s="644">
        <v>1250</v>
      </c>
      <c r="H200" s="644">
        <v>17266</v>
      </c>
      <c r="I200" s="644">
        <v>6671</v>
      </c>
      <c r="J200" s="685" t="s">
        <v>68</v>
      </c>
      <c r="K200" s="686">
        <v>1458</v>
      </c>
      <c r="L200" s="686">
        <v>653</v>
      </c>
      <c r="M200" s="686">
        <v>581</v>
      </c>
      <c r="N200" s="623"/>
      <c r="O200" s="623"/>
      <c r="P200" s="643" t="s">
        <v>51</v>
      </c>
      <c r="Q200" s="651">
        <v>9.5414722949140995E-2</v>
      </c>
      <c r="R200" s="649">
        <v>0.231894915592848</v>
      </c>
      <c r="S200" s="649">
        <v>0.231894915592848</v>
      </c>
      <c r="T200" s="649">
        <v>0.65433119702294795</v>
      </c>
      <c r="U200" s="649">
        <v>0.50110375275938202</v>
      </c>
      <c r="V200" s="649">
        <v>0.6048</v>
      </c>
      <c r="W200" s="649">
        <v>0.23601297347387901</v>
      </c>
      <c r="X200" s="649">
        <v>0.29320941388097699</v>
      </c>
      <c r="Y200" s="658" t="s">
        <v>68</v>
      </c>
      <c r="Z200" s="651">
        <v>0.67078189300411495</v>
      </c>
      <c r="AA200" s="651">
        <v>0.777947932618683</v>
      </c>
      <c r="AB200" s="651">
        <v>0.80378657487091199</v>
      </c>
    </row>
    <row r="201" spans="1:28">
      <c r="A201" s="687"/>
      <c r="B201" s="1064"/>
      <c r="C201" s="688">
        <v>0.24920652701542101</v>
      </c>
      <c r="D201" s="688">
        <v>0.24920652701542101</v>
      </c>
      <c r="E201" s="688">
        <v>6.0204373747557299E-2</v>
      </c>
      <c r="F201" s="688">
        <v>2.81916283932639E-2</v>
      </c>
      <c r="G201" s="688">
        <v>1.5558293815267001E-2</v>
      </c>
      <c r="H201" s="688">
        <v>0.21490360081152099</v>
      </c>
      <c r="I201" s="688">
        <v>8.3031502433317195E-2</v>
      </c>
      <c r="J201" s="689"/>
      <c r="K201" s="690">
        <v>1.8147193906127498E-2</v>
      </c>
      <c r="L201" s="690">
        <v>8.1276526890955002E-3</v>
      </c>
      <c r="M201" s="690">
        <v>7.2314949653361198E-3</v>
      </c>
      <c r="N201" s="623"/>
      <c r="O201" s="623"/>
      <c r="P201" s="687"/>
      <c r="Q201" s="642"/>
      <c r="R201" s="688"/>
      <c r="S201" s="688"/>
      <c r="T201" s="688"/>
      <c r="U201" s="688"/>
      <c r="V201" s="688"/>
      <c r="W201" s="688"/>
      <c r="X201" s="688"/>
      <c r="Y201" s="689"/>
      <c r="Z201" s="690"/>
      <c r="AA201" s="690"/>
      <c r="AB201" s="690"/>
    </row>
    <row r="202" spans="1:28">
      <c r="A202" s="668" t="s">
        <v>350</v>
      </c>
      <c r="B202" s="691">
        <v>1407253</v>
      </c>
      <c r="C202" s="692">
        <v>287770</v>
      </c>
      <c r="D202" s="693">
        <v>269810</v>
      </c>
      <c r="E202" s="693">
        <v>119333</v>
      </c>
      <c r="F202" s="693">
        <v>60277</v>
      </c>
      <c r="G202" s="693">
        <v>54127</v>
      </c>
      <c r="H202" s="693">
        <v>162497</v>
      </c>
      <c r="I202" s="693">
        <v>149104</v>
      </c>
      <c r="J202" s="694">
        <v>101418</v>
      </c>
      <c r="K202" s="695">
        <v>78855</v>
      </c>
      <c r="L202" s="695">
        <v>35865</v>
      </c>
      <c r="M202" s="695">
        <v>33911</v>
      </c>
      <c r="N202" s="623"/>
      <c r="O202" s="623"/>
      <c r="P202" s="668" t="s">
        <v>350</v>
      </c>
      <c r="Q202" s="696">
        <v>0.15440320230476601</v>
      </c>
      <c r="R202" s="697">
        <v>0.574615144038642</v>
      </c>
      <c r="S202" s="698">
        <v>0.57981542566991595</v>
      </c>
      <c r="T202" s="698">
        <v>0.74548532258470002</v>
      </c>
      <c r="U202" s="698">
        <v>0.80626109461320195</v>
      </c>
      <c r="V202" s="698">
        <v>0.78823877177748602</v>
      </c>
      <c r="W202" s="698">
        <v>0.51997883037840698</v>
      </c>
      <c r="X202" s="698">
        <v>0.64641458310977595</v>
      </c>
      <c r="Y202" s="699">
        <v>0.71745646729377399</v>
      </c>
      <c r="Z202" s="700">
        <v>0.805503772747448</v>
      </c>
      <c r="AA202" s="700">
        <v>0.86438031507040303</v>
      </c>
      <c r="AB202" s="700">
        <v>0.86936392321075795</v>
      </c>
    </row>
    <row r="203" spans="1:28" ht="15.75" thickBot="1">
      <c r="A203" s="701"/>
      <c r="B203" s="740"/>
      <c r="C203" s="703">
        <v>0.20449059266528499</v>
      </c>
      <c r="D203" s="703">
        <v>0.19172813985829101</v>
      </c>
      <c r="E203" s="703">
        <v>8.4798540134574205E-2</v>
      </c>
      <c r="F203" s="703">
        <v>4.2833093978126201E-2</v>
      </c>
      <c r="G203" s="703">
        <v>3.8462877677290397E-2</v>
      </c>
      <c r="H203" s="703">
        <v>0.115471063127952</v>
      </c>
      <c r="I203" s="703">
        <v>0.105953940052002</v>
      </c>
      <c r="J203" s="704">
        <v>7.2068064520025898E-2</v>
      </c>
      <c r="K203" s="705">
        <v>5.6034700228032898E-2</v>
      </c>
      <c r="L203" s="705">
        <v>2.54858223787762E-2</v>
      </c>
      <c r="M203" s="705">
        <v>2.40973016223806E-2</v>
      </c>
      <c r="N203" s="623"/>
      <c r="O203" s="623"/>
      <c r="P203" s="701"/>
      <c r="Q203" s="702"/>
      <c r="R203" s="703"/>
      <c r="S203" s="703"/>
      <c r="T203" s="703"/>
      <c r="U203" s="703"/>
      <c r="V203" s="703"/>
      <c r="W203" s="703"/>
      <c r="X203" s="703"/>
      <c r="Y203" s="704"/>
      <c r="Z203" s="705"/>
      <c r="AA203" s="705"/>
      <c r="AB203" s="705"/>
    </row>
    <row r="204" spans="1:28">
      <c r="A204" s="623"/>
      <c r="B204" s="964"/>
      <c r="C204" s="623"/>
      <c r="D204" s="623"/>
      <c r="E204" s="623"/>
      <c r="F204" s="623"/>
      <c r="G204" s="623"/>
      <c r="H204" s="965"/>
      <c r="I204" s="965"/>
      <c r="J204" s="965"/>
      <c r="K204" s="965"/>
      <c r="L204" s="965"/>
      <c r="M204" s="965"/>
      <c r="N204" s="739"/>
      <c r="O204" s="623"/>
      <c r="P204" s="623"/>
      <c r="Q204" s="623"/>
      <c r="R204" s="623"/>
      <c r="S204" s="623"/>
      <c r="T204" s="623"/>
      <c r="U204" s="623"/>
      <c r="V204" s="965"/>
      <c r="W204" s="965"/>
      <c r="X204" s="965"/>
      <c r="Y204" s="965"/>
      <c r="Z204" s="965"/>
      <c r="AA204" s="965"/>
      <c r="AB204" s="965"/>
    </row>
    <row r="205" spans="1:28">
      <c r="A205" s="623"/>
      <c r="B205" s="964"/>
      <c r="C205" s="623"/>
      <c r="D205" s="623"/>
      <c r="E205" s="623"/>
      <c r="F205" s="623"/>
      <c r="G205" s="965"/>
      <c r="H205" s="965"/>
      <c r="I205" s="965"/>
      <c r="J205" s="965"/>
      <c r="K205" s="965"/>
      <c r="L205" s="965"/>
      <c r="M205" s="965"/>
      <c r="N205" s="965"/>
      <c r="O205" s="623"/>
      <c r="P205" s="623" t="s">
        <v>355</v>
      </c>
      <c r="Q205" s="623" t="s">
        <v>356</v>
      </c>
      <c r="R205" s="623"/>
      <c r="S205" s="623"/>
      <c r="T205" s="623"/>
      <c r="U205" s="623"/>
      <c r="V205" s="965"/>
      <c r="W205" s="965"/>
      <c r="X205" s="965"/>
      <c r="Y205" s="965"/>
      <c r="Z205" s="965"/>
      <c r="AA205" s="965"/>
      <c r="AB205" s="965"/>
    </row>
    <row r="206" spans="1:28">
      <c r="A206" s="625" t="s">
        <v>324</v>
      </c>
      <c r="B206" s="625"/>
      <c r="C206" s="625">
        <v>2011</v>
      </c>
      <c r="D206" s="623"/>
      <c r="E206" s="623"/>
      <c r="F206" s="623"/>
      <c r="G206" s="623"/>
      <c r="H206" s="623"/>
      <c r="I206" s="623"/>
      <c r="J206" s="623"/>
      <c r="K206" s="623"/>
      <c r="L206" s="623"/>
      <c r="M206" s="623"/>
      <c r="N206" s="623"/>
      <c r="O206" s="623"/>
      <c r="P206" s="625" t="s">
        <v>324</v>
      </c>
      <c r="Q206" s="625"/>
      <c r="R206" s="625">
        <v>2011</v>
      </c>
      <c r="S206" s="623"/>
      <c r="T206" s="623"/>
      <c r="U206" s="623"/>
      <c r="V206" s="627"/>
      <c r="W206" s="627"/>
      <c r="X206" s="627"/>
      <c r="Y206" s="627"/>
      <c r="Z206" s="627"/>
      <c r="AA206" s="627"/>
      <c r="AB206" s="627"/>
    </row>
    <row r="207" spans="1:28" ht="15.75" thickBot="1">
      <c r="A207" s="623"/>
      <c r="B207" s="623"/>
      <c r="C207" s="623"/>
      <c r="D207" s="623"/>
      <c r="E207" s="623"/>
      <c r="F207" s="623"/>
      <c r="G207" s="627"/>
      <c r="H207" s="627"/>
      <c r="I207" s="627"/>
      <c r="J207" s="627"/>
      <c r="K207" s="627"/>
      <c r="L207" s="627"/>
      <c r="M207" s="627"/>
      <c r="N207" s="627"/>
      <c r="O207" s="623"/>
      <c r="P207" s="623"/>
      <c r="Q207" s="623"/>
      <c r="R207" s="623"/>
      <c r="S207" s="623"/>
      <c r="T207" s="623"/>
      <c r="U207" s="623"/>
      <c r="V207" s="627"/>
      <c r="W207" s="627"/>
      <c r="X207" s="627"/>
      <c r="Y207" s="627"/>
      <c r="Z207" s="627"/>
      <c r="AA207" s="627"/>
      <c r="AB207" s="627"/>
    </row>
    <row r="208" spans="1:28">
      <c r="A208" s="629" t="s">
        <v>325</v>
      </c>
      <c r="B208" s="632" t="s">
        <v>326</v>
      </c>
      <c r="C208" s="631"/>
      <c r="D208" s="631"/>
      <c r="E208" s="631" t="s">
        <v>327</v>
      </c>
      <c r="F208" s="631"/>
      <c r="G208" s="631"/>
      <c r="H208" s="631"/>
      <c r="I208" s="631"/>
      <c r="J208" s="631"/>
      <c r="K208" s="629" t="s">
        <v>328</v>
      </c>
      <c r="L208" s="629" t="s">
        <v>329</v>
      </c>
      <c r="M208" s="629" t="s">
        <v>330</v>
      </c>
      <c r="N208" s="623"/>
      <c r="O208" s="623"/>
      <c r="P208" s="629" t="s">
        <v>325</v>
      </c>
      <c r="Q208" s="632" t="s">
        <v>326</v>
      </c>
      <c r="R208" s="631"/>
      <c r="S208" s="631"/>
      <c r="T208" s="631" t="s">
        <v>331</v>
      </c>
      <c r="U208" s="631"/>
      <c r="V208" s="631"/>
      <c r="W208" s="631"/>
      <c r="X208" s="631"/>
      <c r="Y208" s="631"/>
      <c r="Z208" s="629" t="s">
        <v>328</v>
      </c>
      <c r="AA208" s="629" t="s">
        <v>329</v>
      </c>
      <c r="AB208" s="629" t="s">
        <v>330</v>
      </c>
    </row>
    <row r="209" spans="1:28">
      <c r="A209" s="633" t="s">
        <v>332</v>
      </c>
      <c r="B209" s="636" t="s">
        <v>333</v>
      </c>
      <c r="C209" s="634"/>
      <c r="D209" s="634"/>
      <c r="E209" s="634" t="s">
        <v>334</v>
      </c>
      <c r="F209" s="634"/>
      <c r="G209" s="634"/>
      <c r="H209" s="634"/>
      <c r="I209" s="634"/>
      <c r="J209" s="634"/>
      <c r="K209" s="635" t="s">
        <v>335</v>
      </c>
      <c r="L209" s="635" t="s">
        <v>335</v>
      </c>
      <c r="M209" s="635" t="s">
        <v>335</v>
      </c>
      <c r="N209" s="623"/>
      <c r="O209" s="623"/>
      <c r="P209" s="633" t="s">
        <v>332</v>
      </c>
      <c r="Q209" s="636" t="s">
        <v>333</v>
      </c>
      <c r="R209" s="634"/>
      <c r="S209" s="634"/>
      <c r="T209" s="634" t="s">
        <v>336</v>
      </c>
      <c r="U209" s="634"/>
      <c r="V209" s="634"/>
      <c r="W209" s="634"/>
      <c r="X209" s="634"/>
      <c r="Y209" s="634"/>
      <c r="Z209" s="635" t="s">
        <v>335</v>
      </c>
      <c r="AA209" s="635" t="s">
        <v>335</v>
      </c>
      <c r="AB209" s="635" t="s">
        <v>335</v>
      </c>
    </row>
    <row r="210" spans="1:28">
      <c r="A210" s="633" t="s">
        <v>337</v>
      </c>
      <c r="B210" s="636" t="s">
        <v>53</v>
      </c>
      <c r="C210" s="637" t="s">
        <v>338</v>
      </c>
      <c r="D210" s="637" t="s">
        <v>339</v>
      </c>
      <c r="E210" s="637"/>
      <c r="F210" s="637"/>
      <c r="G210" s="637"/>
      <c r="H210" s="637"/>
      <c r="I210" s="637"/>
      <c r="J210" s="638" t="s">
        <v>164</v>
      </c>
      <c r="K210" s="633" t="s">
        <v>340</v>
      </c>
      <c r="L210" s="633" t="s">
        <v>341</v>
      </c>
      <c r="M210" s="633" t="s">
        <v>341</v>
      </c>
      <c r="N210" s="623"/>
      <c r="O210" s="623"/>
      <c r="P210" s="633" t="s">
        <v>337</v>
      </c>
      <c r="Q210" s="636" t="s">
        <v>53</v>
      </c>
      <c r="R210" s="637" t="s">
        <v>338</v>
      </c>
      <c r="S210" s="637" t="s">
        <v>339</v>
      </c>
      <c r="T210" s="637"/>
      <c r="U210" s="637"/>
      <c r="V210" s="637"/>
      <c r="W210" s="637"/>
      <c r="X210" s="637"/>
      <c r="Y210" s="638" t="s">
        <v>164</v>
      </c>
      <c r="Z210" s="633" t="s">
        <v>340</v>
      </c>
      <c r="AA210" s="633" t="s">
        <v>341</v>
      </c>
      <c r="AB210" s="633" t="s">
        <v>341</v>
      </c>
    </row>
    <row r="211" spans="1:28">
      <c r="A211" s="639"/>
      <c r="B211" s="642"/>
      <c r="C211" s="640" t="s">
        <v>342</v>
      </c>
      <c r="D211" s="640" t="s">
        <v>343</v>
      </c>
      <c r="E211" s="640" t="s">
        <v>127</v>
      </c>
      <c r="F211" s="640" t="s">
        <v>56</v>
      </c>
      <c r="G211" s="640" t="s">
        <v>344</v>
      </c>
      <c r="H211" s="640" t="s">
        <v>345</v>
      </c>
      <c r="I211" s="640" t="s">
        <v>122</v>
      </c>
      <c r="J211" s="634" t="s">
        <v>346</v>
      </c>
      <c r="K211" s="641" t="s">
        <v>361</v>
      </c>
      <c r="L211" s="641" t="s">
        <v>362</v>
      </c>
      <c r="M211" s="641" t="s">
        <v>363</v>
      </c>
      <c r="N211" s="623"/>
      <c r="O211" s="623"/>
      <c r="P211" s="639"/>
      <c r="Q211" s="642"/>
      <c r="R211" s="640" t="s">
        <v>342</v>
      </c>
      <c r="S211" s="640" t="s">
        <v>343</v>
      </c>
      <c r="T211" s="640" t="s">
        <v>127</v>
      </c>
      <c r="U211" s="640" t="s">
        <v>56</v>
      </c>
      <c r="V211" s="640" t="s">
        <v>344</v>
      </c>
      <c r="W211" s="640" t="s">
        <v>345</v>
      </c>
      <c r="X211" s="640" t="s">
        <v>122</v>
      </c>
      <c r="Y211" s="634" t="s">
        <v>346</v>
      </c>
      <c r="Z211" s="641" t="s">
        <v>361</v>
      </c>
      <c r="AA211" s="641" t="s">
        <v>362</v>
      </c>
      <c r="AB211" s="641" t="s">
        <v>363</v>
      </c>
    </row>
    <row r="212" spans="1:28">
      <c r="A212" s="643" t="s">
        <v>127</v>
      </c>
      <c r="B212" s="1065">
        <v>124435</v>
      </c>
      <c r="C212" s="644">
        <v>51752</v>
      </c>
      <c r="D212" s="644">
        <v>49092</v>
      </c>
      <c r="E212" s="645" t="s">
        <v>68</v>
      </c>
      <c r="F212" s="644">
        <v>16510</v>
      </c>
      <c r="G212" s="644">
        <v>9900</v>
      </c>
      <c r="H212" s="644">
        <v>43307</v>
      </c>
      <c r="I212" s="644">
        <v>30175</v>
      </c>
      <c r="J212" s="646">
        <v>21783</v>
      </c>
      <c r="K212" s="647">
        <v>15202</v>
      </c>
      <c r="L212" s="647">
        <v>7067</v>
      </c>
      <c r="M212" s="647">
        <v>6642</v>
      </c>
      <c r="N212" s="623"/>
      <c r="O212" s="623"/>
      <c r="P212" s="643" t="s">
        <v>127</v>
      </c>
      <c r="Q212" s="648">
        <v>0.37122601234550601</v>
      </c>
      <c r="R212" s="649">
        <v>0.70223373009738799</v>
      </c>
      <c r="S212" s="649">
        <v>0.71588038784323305</v>
      </c>
      <c r="T212" s="645" t="s">
        <v>68</v>
      </c>
      <c r="U212" s="649">
        <v>0.85542095699576004</v>
      </c>
      <c r="V212" s="649">
        <v>0.88757575757575802</v>
      </c>
      <c r="W212" s="649">
        <v>0.73359964901747998</v>
      </c>
      <c r="X212" s="649">
        <v>0.76321458160729105</v>
      </c>
      <c r="Y212" s="650">
        <v>0.80392966992608905</v>
      </c>
      <c r="Z212" s="651">
        <v>0.86613603473227196</v>
      </c>
      <c r="AA212" s="651">
        <v>0.91424932786189295</v>
      </c>
      <c r="AB212" s="651">
        <v>0.91674194519722996</v>
      </c>
    </row>
    <row r="213" spans="1:28">
      <c r="A213" s="652"/>
      <c r="B213" s="1066"/>
      <c r="C213" s="653">
        <v>0.41589584923855799</v>
      </c>
      <c r="D213" s="653">
        <v>0.39451922690561297</v>
      </c>
      <c r="E213" s="653"/>
      <c r="F213" s="653">
        <v>0.13267971229959399</v>
      </c>
      <c r="G213" s="653">
        <v>7.9559609434644601E-2</v>
      </c>
      <c r="H213" s="653">
        <v>0.34802909149355099</v>
      </c>
      <c r="I213" s="653">
        <v>0.24249608229196001</v>
      </c>
      <c r="J213" s="654">
        <v>0.17505524972877401</v>
      </c>
      <c r="K213" s="654">
        <v>0.12216820026519901</v>
      </c>
      <c r="L213" s="654">
        <v>5.6792703017639702E-2</v>
      </c>
      <c r="M213" s="654">
        <v>5.3377265238879701E-2</v>
      </c>
      <c r="N213" s="623"/>
      <c r="O213" s="623"/>
      <c r="P213" s="652"/>
      <c r="Q213" s="655"/>
      <c r="R213" s="653"/>
      <c r="S213" s="653"/>
      <c r="T213" s="653"/>
      <c r="U213" s="653"/>
      <c r="V213" s="653"/>
      <c r="W213" s="653"/>
      <c r="X213" s="653"/>
      <c r="Y213" s="656"/>
      <c r="Z213" s="657"/>
      <c r="AA213" s="657"/>
      <c r="AB213" s="657"/>
    </row>
    <row r="214" spans="1:28">
      <c r="A214" s="643" t="s">
        <v>56</v>
      </c>
      <c r="B214" s="1067">
        <v>271683</v>
      </c>
      <c r="C214" s="644">
        <v>78342</v>
      </c>
      <c r="D214" s="644">
        <v>76273</v>
      </c>
      <c r="E214" s="644">
        <v>30411</v>
      </c>
      <c r="F214" s="645" t="s">
        <v>68</v>
      </c>
      <c r="G214" s="644">
        <v>18505</v>
      </c>
      <c r="H214" s="644">
        <v>63640</v>
      </c>
      <c r="I214" s="644">
        <v>48706</v>
      </c>
      <c r="J214" s="646">
        <v>19680</v>
      </c>
      <c r="K214" s="647">
        <v>27794</v>
      </c>
      <c r="L214" s="647">
        <v>9179</v>
      </c>
      <c r="M214" s="647">
        <v>8755</v>
      </c>
      <c r="N214" s="623"/>
      <c r="O214" s="623"/>
      <c r="P214" s="643" t="s">
        <v>56</v>
      </c>
      <c r="Q214" s="651">
        <v>0.165598361197383</v>
      </c>
      <c r="R214" s="649">
        <v>0.474062444155115</v>
      </c>
      <c r="S214" s="649">
        <v>0.46332253877518897</v>
      </c>
      <c r="T214" s="649">
        <v>0.68836934004143202</v>
      </c>
      <c r="U214" s="645" t="s">
        <v>68</v>
      </c>
      <c r="V214" s="649">
        <v>0.64566333423399103</v>
      </c>
      <c r="W214" s="649">
        <v>0.474984286612194</v>
      </c>
      <c r="X214" s="649">
        <v>0.54845398924157196</v>
      </c>
      <c r="Y214" s="650">
        <v>0.68038617886178898</v>
      </c>
      <c r="Z214" s="651">
        <v>0.70414477944880205</v>
      </c>
      <c r="AA214" s="651">
        <v>0.81730035951628699</v>
      </c>
      <c r="AB214" s="651">
        <v>0.82352941176470595</v>
      </c>
    </row>
    <row r="215" spans="1:28">
      <c r="A215" s="652"/>
      <c r="B215" s="1066"/>
      <c r="C215" s="653">
        <v>0.288358123253939</v>
      </c>
      <c r="D215" s="653">
        <v>0.28074263019769402</v>
      </c>
      <c r="E215" s="653">
        <v>0.111935601417829</v>
      </c>
      <c r="F215" s="653"/>
      <c r="G215" s="653">
        <v>6.8112469311660997E-2</v>
      </c>
      <c r="H215" s="653">
        <v>0.23424358535499101</v>
      </c>
      <c r="I215" s="653">
        <v>0.17927511106694199</v>
      </c>
      <c r="J215" s="654">
        <v>7.2437362661631394E-2</v>
      </c>
      <c r="K215" s="654">
        <v>0.102303051718363</v>
      </c>
      <c r="L215" s="654">
        <v>3.3785698773938701E-2</v>
      </c>
      <c r="M215" s="654">
        <v>3.2225056407651602E-2</v>
      </c>
      <c r="N215" s="623"/>
      <c r="O215" s="623"/>
      <c r="P215" s="652"/>
      <c r="Q215" s="655"/>
      <c r="R215" s="653"/>
      <c r="S215" s="653"/>
      <c r="T215" s="653"/>
      <c r="U215" s="653"/>
      <c r="V215" s="653"/>
      <c r="W215" s="653"/>
      <c r="X215" s="653"/>
      <c r="Y215" s="656"/>
      <c r="Z215" s="657"/>
      <c r="AA215" s="657"/>
      <c r="AB215" s="657"/>
    </row>
    <row r="216" spans="1:28">
      <c r="A216" s="643" t="s">
        <v>344</v>
      </c>
      <c r="B216" s="1067">
        <v>137671</v>
      </c>
      <c r="C216" s="644">
        <v>22108</v>
      </c>
      <c r="D216" s="644">
        <v>21842</v>
      </c>
      <c r="E216" s="644">
        <v>7200</v>
      </c>
      <c r="F216" s="644">
        <v>5717</v>
      </c>
      <c r="G216" s="645" t="s">
        <v>68</v>
      </c>
      <c r="H216" s="644">
        <v>19828</v>
      </c>
      <c r="I216" s="644">
        <v>9885</v>
      </c>
      <c r="J216" s="646">
        <v>3051</v>
      </c>
      <c r="K216" s="647">
        <v>3464</v>
      </c>
      <c r="L216" s="647">
        <v>3464</v>
      </c>
      <c r="M216" s="647">
        <v>3187</v>
      </c>
      <c r="N216" s="623"/>
      <c r="O216" s="623"/>
      <c r="P216" s="643" t="s">
        <v>344</v>
      </c>
      <c r="Q216" s="651">
        <v>9.6245625198854601E-2</v>
      </c>
      <c r="R216" s="649">
        <v>0.332458838429528</v>
      </c>
      <c r="S216" s="649">
        <v>0.32725940847907697</v>
      </c>
      <c r="T216" s="649">
        <v>0.49944444444444402</v>
      </c>
      <c r="U216" s="649">
        <v>0.53664509358054902</v>
      </c>
      <c r="V216" s="645" t="s">
        <v>68</v>
      </c>
      <c r="W216" s="649">
        <v>0.32000201734920303</v>
      </c>
      <c r="X216" s="649">
        <v>0.45341426403641899</v>
      </c>
      <c r="Y216" s="650">
        <v>0.58603736479842705</v>
      </c>
      <c r="Z216" s="651">
        <v>0.62413394919168597</v>
      </c>
      <c r="AA216" s="651">
        <v>0.62413394919168597</v>
      </c>
      <c r="AB216" s="651">
        <v>0.62849074364606194</v>
      </c>
    </row>
    <row r="217" spans="1:28">
      <c r="A217" s="652"/>
      <c r="B217" s="1066"/>
      <c r="C217" s="653">
        <v>0.16058574427439301</v>
      </c>
      <c r="D217" s="653">
        <v>0.15865360170261</v>
      </c>
      <c r="E217" s="653">
        <v>5.2298595927973202E-2</v>
      </c>
      <c r="F217" s="653">
        <v>4.1526537905586497E-2</v>
      </c>
      <c r="G217" s="653"/>
      <c r="H217" s="653">
        <v>0.144024522230535</v>
      </c>
      <c r="I217" s="653">
        <v>7.18016139927799E-2</v>
      </c>
      <c r="J217" s="654">
        <v>2.2161530024478598E-2</v>
      </c>
      <c r="K217" s="654">
        <v>2.5161435596458202E-2</v>
      </c>
      <c r="L217" s="654">
        <v>2.5161435596458202E-2</v>
      </c>
      <c r="M217" s="654">
        <v>2.3149392392007001E-2</v>
      </c>
      <c r="N217" s="623"/>
      <c r="O217" s="623"/>
      <c r="P217" s="652"/>
      <c r="Q217" s="655"/>
      <c r="R217" s="653"/>
      <c r="S217" s="653"/>
      <c r="T217" s="653"/>
      <c r="U217" s="653"/>
      <c r="V217" s="659"/>
      <c r="W217" s="653"/>
      <c r="X217" s="653"/>
      <c r="Y217" s="656"/>
      <c r="Z217" s="657"/>
      <c r="AA217" s="657"/>
      <c r="AB217" s="657"/>
    </row>
    <row r="218" spans="1:28">
      <c r="A218" s="643" t="s">
        <v>347</v>
      </c>
      <c r="B218" s="1067">
        <v>231630</v>
      </c>
      <c r="C218" s="644">
        <v>89050</v>
      </c>
      <c r="D218" s="644">
        <v>77162</v>
      </c>
      <c r="E218" s="644">
        <v>64979</v>
      </c>
      <c r="F218" s="644">
        <v>31882</v>
      </c>
      <c r="G218" s="644">
        <v>21593</v>
      </c>
      <c r="H218" s="658" t="s">
        <v>68</v>
      </c>
      <c r="I218" s="644">
        <v>48836</v>
      </c>
      <c r="J218" s="646">
        <v>51273</v>
      </c>
      <c r="K218" s="647">
        <v>28284</v>
      </c>
      <c r="L218" s="647">
        <v>14846</v>
      </c>
      <c r="M218" s="647">
        <v>14048</v>
      </c>
      <c r="N218" s="623"/>
      <c r="O218" s="623"/>
      <c r="P218" s="643" t="s">
        <v>347</v>
      </c>
      <c r="Q218" s="651">
        <v>0.23967651130058501</v>
      </c>
      <c r="R218" s="649">
        <v>0.70058394160583903</v>
      </c>
      <c r="S218" s="649">
        <v>0.73875741945517204</v>
      </c>
      <c r="T218" s="649">
        <v>0.78679265608889004</v>
      </c>
      <c r="U218" s="649">
        <v>0.84185433787089903</v>
      </c>
      <c r="V218" s="649">
        <v>0.88834344463483506</v>
      </c>
      <c r="W218" s="658" t="s">
        <v>68</v>
      </c>
      <c r="X218" s="649">
        <v>0.74524940617577196</v>
      </c>
      <c r="Y218" s="650">
        <v>0.738497844869619</v>
      </c>
      <c r="Z218" s="651">
        <v>0.87742186395135102</v>
      </c>
      <c r="AA218" s="651">
        <v>0.936750639903004</v>
      </c>
      <c r="AB218" s="651">
        <v>0.93942198177676495</v>
      </c>
    </row>
    <row r="219" spans="1:28">
      <c r="A219" s="652"/>
      <c r="B219" s="1066"/>
      <c r="C219" s="653">
        <v>0.38444933730518499</v>
      </c>
      <c r="D219" s="653">
        <v>0.333126106290204</v>
      </c>
      <c r="E219" s="653">
        <v>0.280529292405992</v>
      </c>
      <c r="F219" s="653">
        <v>0.137641928938393</v>
      </c>
      <c r="G219" s="653">
        <v>9.3221948797651402E-2</v>
      </c>
      <c r="H219" s="653"/>
      <c r="I219" s="653">
        <v>0.210836247463627</v>
      </c>
      <c r="J219" s="654">
        <v>0.221357337132496</v>
      </c>
      <c r="K219" s="654">
        <v>0.122108535163839</v>
      </c>
      <c r="L219" s="654">
        <v>6.4093597547813297E-2</v>
      </c>
      <c r="M219" s="654">
        <v>6.06484479557916E-2</v>
      </c>
      <c r="N219" s="623"/>
      <c r="O219" s="623"/>
      <c r="P219" s="652"/>
      <c r="Q219" s="661"/>
      <c r="R219" s="653"/>
      <c r="S219" s="653"/>
      <c r="T219" s="653"/>
      <c r="U219" s="653"/>
      <c r="V219" s="653"/>
      <c r="W219" s="738"/>
      <c r="X219" s="653"/>
      <c r="Y219" s="656"/>
      <c r="Z219" s="657"/>
      <c r="AA219" s="657"/>
      <c r="AB219" s="657"/>
    </row>
    <row r="220" spans="1:28">
      <c r="A220" s="643" t="s">
        <v>122</v>
      </c>
      <c r="B220" s="1067">
        <v>413540</v>
      </c>
      <c r="C220" s="644">
        <v>15596</v>
      </c>
      <c r="D220" s="644">
        <v>14621</v>
      </c>
      <c r="E220" s="644">
        <v>5956</v>
      </c>
      <c r="F220" s="644">
        <v>2841</v>
      </c>
      <c r="G220" s="644">
        <v>1574</v>
      </c>
      <c r="H220" s="644">
        <v>13323</v>
      </c>
      <c r="I220" s="658" t="s">
        <v>68</v>
      </c>
      <c r="J220" s="646">
        <v>5619</v>
      </c>
      <c r="K220" s="647">
        <v>1907</v>
      </c>
      <c r="L220" s="647">
        <v>971</v>
      </c>
      <c r="M220" s="647">
        <v>971</v>
      </c>
      <c r="N220" s="623"/>
      <c r="O220" s="623"/>
      <c r="P220" s="643" t="s">
        <v>122</v>
      </c>
      <c r="Q220" s="651">
        <v>5.2825929740746402E-2</v>
      </c>
      <c r="R220" s="649">
        <v>0.57386509361374705</v>
      </c>
      <c r="S220" s="649">
        <v>0.59065727378428301</v>
      </c>
      <c r="T220" s="649">
        <v>0.87743451981195397</v>
      </c>
      <c r="U220" s="649">
        <v>0.73495248152059101</v>
      </c>
      <c r="V220" s="649">
        <v>0.85959339263024104</v>
      </c>
      <c r="W220" s="649">
        <v>0.57547099001726298</v>
      </c>
      <c r="X220" s="658" t="s">
        <v>68</v>
      </c>
      <c r="Y220" s="650">
        <v>0.37337604555970799</v>
      </c>
      <c r="Z220" s="651">
        <v>0.88620870477189295</v>
      </c>
      <c r="AA220" s="651">
        <v>0.89289392378990695</v>
      </c>
      <c r="AB220" s="651">
        <v>0.89289392378990695</v>
      </c>
    </row>
    <row r="221" spans="1:28">
      <c r="A221" s="662"/>
      <c r="B221" s="1069"/>
      <c r="C221" s="663">
        <v>3.7713401363834199E-2</v>
      </c>
      <c r="D221" s="664">
        <v>3.5355709242153102E-2</v>
      </c>
      <c r="E221" s="664">
        <v>1.4402476181264201E-2</v>
      </c>
      <c r="F221" s="664">
        <v>6.8699521207138403E-3</v>
      </c>
      <c r="G221" s="664">
        <v>3.80616143541133E-3</v>
      </c>
      <c r="H221" s="664">
        <v>3.2216956038109999E-2</v>
      </c>
      <c r="I221" s="664"/>
      <c r="J221" s="665">
        <v>1.3587561058180601E-2</v>
      </c>
      <c r="K221" s="666">
        <v>4.61140397543164E-3</v>
      </c>
      <c r="L221" s="666">
        <v>2.3480195386177899E-3</v>
      </c>
      <c r="M221" s="666">
        <v>2.3480195386177899E-3</v>
      </c>
      <c r="N221" s="623"/>
      <c r="O221" s="623"/>
      <c r="P221" s="662"/>
      <c r="Q221" s="667"/>
      <c r="R221" s="664"/>
      <c r="S221" s="664"/>
      <c r="T221" s="664"/>
      <c r="U221" s="664"/>
      <c r="V221" s="664"/>
      <c r="W221" s="664"/>
      <c r="X221" s="664"/>
      <c r="Y221" s="665"/>
      <c r="Z221" s="666"/>
      <c r="AA221" s="666"/>
      <c r="AB221" s="666"/>
    </row>
    <row r="222" spans="1:28">
      <c r="A222" s="668" t="s">
        <v>348</v>
      </c>
      <c r="B222" s="669">
        <v>1178959</v>
      </c>
      <c r="C222" s="670">
        <v>256848</v>
      </c>
      <c r="D222" s="670">
        <v>238990</v>
      </c>
      <c r="E222" s="670">
        <v>108546</v>
      </c>
      <c r="F222" s="670">
        <v>56950</v>
      </c>
      <c r="G222" s="670">
        <v>51572</v>
      </c>
      <c r="H222" s="670">
        <v>140098</v>
      </c>
      <c r="I222" s="670">
        <v>137602</v>
      </c>
      <c r="J222" s="671">
        <v>101406</v>
      </c>
      <c r="K222" s="672">
        <v>76651</v>
      </c>
      <c r="L222" s="672">
        <v>35527</v>
      </c>
      <c r="M222" s="672">
        <v>33603</v>
      </c>
      <c r="N222" s="623"/>
      <c r="O222" s="623"/>
      <c r="P222" s="668" t="s">
        <v>348</v>
      </c>
      <c r="Q222" s="673">
        <v>0.16952595811888299</v>
      </c>
      <c r="R222" s="674">
        <v>0.59244377997882003</v>
      </c>
      <c r="S222" s="674">
        <v>0.59948533411439797</v>
      </c>
      <c r="T222" s="674">
        <v>0.74513109649365294</v>
      </c>
      <c r="U222" s="674">
        <v>0.80981562774363502</v>
      </c>
      <c r="V222" s="674">
        <v>0.80024044054913501</v>
      </c>
      <c r="W222" s="674">
        <v>0.54254878727747702</v>
      </c>
      <c r="X222" s="674">
        <v>0.65856600921498198</v>
      </c>
      <c r="Y222" s="675">
        <v>0.71645661992387</v>
      </c>
      <c r="Z222" s="673">
        <v>0.80112457763108103</v>
      </c>
      <c r="AA222" s="673">
        <v>0.86973287921862197</v>
      </c>
      <c r="AB222" s="673">
        <v>0.87391006755349199</v>
      </c>
    </row>
    <row r="223" spans="1:28">
      <c r="A223" s="676" t="s">
        <v>349</v>
      </c>
      <c r="B223" s="677"/>
      <c r="C223" s="682">
        <v>0.21785999343488599</v>
      </c>
      <c r="D223" s="682">
        <v>0.20271273216456201</v>
      </c>
      <c r="E223" s="682">
        <v>9.2069359494265701E-2</v>
      </c>
      <c r="F223" s="682">
        <v>4.8305326987622098E-2</v>
      </c>
      <c r="G223" s="682">
        <v>4.3743675564629499E-2</v>
      </c>
      <c r="H223" s="682">
        <v>0.118831952595468</v>
      </c>
      <c r="I223" s="682">
        <v>0.11671483062600101</v>
      </c>
      <c r="J223" s="683">
        <v>8.6013169245071297E-2</v>
      </c>
      <c r="K223" s="684">
        <v>6.5015831763445595E-2</v>
      </c>
      <c r="L223" s="684">
        <v>3.0134211622287101E-2</v>
      </c>
      <c r="M223" s="684">
        <v>2.85022634374902E-2</v>
      </c>
      <c r="N223" s="623"/>
      <c r="O223" s="623"/>
      <c r="P223" s="676" t="s">
        <v>349</v>
      </c>
      <c r="Q223" s="681"/>
      <c r="R223" s="682"/>
      <c r="S223" s="682"/>
      <c r="T223" s="682"/>
      <c r="U223" s="682"/>
      <c r="V223" s="682"/>
      <c r="W223" s="682"/>
      <c r="X223" s="682"/>
      <c r="Y223" s="683"/>
      <c r="Z223" s="684"/>
      <c r="AA223" s="684"/>
      <c r="AB223" s="684"/>
    </row>
    <row r="224" spans="1:28">
      <c r="A224" s="643" t="s">
        <v>51</v>
      </c>
      <c r="B224" s="1067">
        <v>71808</v>
      </c>
      <c r="C224" s="644">
        <v>19068</v>
      </c>
      <c r="D224" s="644">
        <v>19068</v>
      </c>
      <c r="E224" s="644">
        <v>4893</v>
      </c>
      <c r="F224" s="644">
        <v>2385</v>
      </c>
      <c r="G224" s="644">
        <v>1266</v>
      </c>
      <c r="H224" s="644">
        <v>16352</v>
      </c>
      <c r="I224" s="644">
        <v>6455</v>
      </c>
      <c r="J224" s="685" t="s">
        <v>68</v>
      </c>
      <c r="K224" s="686">
        <v>1519</v>
      </c>
      <c r="L224" s="686">
        <v>754</v>
      </c>
      <c r="M224" s="686">
        <v>643</v>
      </c>
      <c r="N224" s="623"/>
      <c r="O224" s="623"/>
      <c r="P224" s="643" t="s">
        <v>51</v>
      </c>
      <c r="Q224" s="651">
        <v>9.9564926372155305E-2</v>
      </c>
      <c r="R224" s="649">
        <v>0.239773442416614</v>
      </c>
      <c r="S224" s="649">
        <v>0.239773442416614</v>
      </c>
      <c r="T224" s="649">
        <v>0.66768853464132405</v>
      </c>
      <c r="U224" s="649">
        <v>0.48469601677148799</v>
      </c>
      <c r="V224" s="649">
        <v>0.63823064770932103</v>
      </c>
      <c r="W224" s="649">
        <v>0.24064334637964799</v>
      </c>
      <c r="X224" s="649">
        <v>0.30751355538342401</v>
      </c>
      <c r="Y224" s="658" t="s">
        <v>68</v>
      </c>
      <c r="Z224" s="651">
        <v>0.66622778143515504</v>
      </c>
      <c r="AA224" s="651">
        <v>0.77055702917771896</v>
      </c>
      <c r="AB224" s="651">
        <v>0.82426127527216198</v>
      </c>
    </row>
    <row r="225" spans="1:28">
      <c r="A225" s="687"/>
      <c r="B225" s="1064"/>
      <c r="C225" s="688">
        <v>0.26554144385026701</v>
      </c>
      <c r="D225" s="688">
        <v>0.26554144385026701</v>
      </c>
      <c r="E225" s="688">
        <v>6.8140040106951905E-2</v>
      </c>
      <c r="F225" s="688">
        <v>3.3213569518716603E-2</v>
      </c>
      <c r="G225" s="688">
        <v>1.7630347593582899E-2</v>
      </c>
      <c r="H225" s="688">
        <v>0.227718360071301</v>
      </c>
      <c r="I225" s="688">
        <v>8.9892491087343998E-2</v>
      </c>
      <c r="J225" s="689"/>
      <c r="K225" s="690">
        <v>2.1153631907308401E-2</v>
      </c>
      <c r="L225" s="690">
        <v>1.0500222816399301E-2</v>
      </c>
      <c r="M225" s="690">
        <v>8.9544340463458098E-3</v>
      </c>
      <c r="N225" s="623"/>
      <c r="O225" s="623"/>
      <c r="P225" s="687"/>
      <c r="Q225" s="642"/>
      <c r="R225" s="688"/>
      <c r="S225" s="688"/>
      <c r="T225" s="688"/>
      <c r="U225" s="688"/>
      <c r="V225" s="688"/>
      <c r="W225" s="688"/>
      <c r="X225" s="688"/>
      <c r="Y225" s="689"/>
      <c r="Z225" s="690"/>
      <c r="AA225" s="690"/>
      <c r="AB225" s="690"/>
    </row>
    <row r="226" spans="1:28">
      <c r="A226" s="668" t="s">
        <v>350</v>
      </c>
      <c r="B226" s="691">
        <v>1250767</v>
      </c>
      <c r="C226" s="692">
        <v>275916</v>
      </c>
      <c r="D226" s="693">
        <v>258058</v>
      </c>
      <c r="E226" s="693">
        <v>113439</v>
      </c>
      <c r="F226" s="693">
        <v>59335</v>
      </c>
      <c r="G226" s="693">
        <v>52838</v>
      </c>
      <c r="H226" s="693">
        <v>156450</v>
      </c>
      <c r="I226" s="693">
        <v>144057</v>
      </c>
      <c r="J226" s="694">
        <v>101406</v>
      </c>
      <c r="K226" s="695">
        <v>78170</v>
      </c>
      <c r="L226" s="695">
        <v>36281</v>
      </c>
      <c r="M226" s="695">
        <v>34246</v>
      </c>
      <c r="N226" s="623"/>
      <c r="O226" s="623"/>
      <c r="P226" s="668" t="s">
        <v>350</v>
      </c>
      <c r="Q226" s="696">
        <v>0.165186128191079</v>
      </c>
      <c r="R226" s="697">
        <v>0.56807144203308302</v>
      </c>
      <c r="S226" s="698">
        <v>0.57290609087879496</v>
      </c>
      <c r="T226" s="698">
        <v>0.74179074216098495</v>
      </c>
      <c r="U226" s="698">
        <v>0.79674728237970804</v>
      </c>
      <c r="V226" s="698">
        <v>0.79635868125212905</v>
      </c>
      <c r="W226" s="698">
        <v>0.51099392777245101</v>
      </c>
      <c r="X226" s="698">
        <v>0.64283582193159605</v>
      </c>
      <c r="Y226" s="699">
        <v>0.71645661992387</v>
      </c>
      <c r="Z226" s="700">
        <v>0.79850326212101796</v>
      </c>
      <c r="AA226" s="700">
        <v>0.86767178412943402</v>
      </c>
      <c r="AB226" s="700">
        <v>0.87297786602814897</v>
      </c>
    </row>
    <row r="227" spans="1:28" ht="15.75" thickBot="1">
      <c r="A227" s="701"/>
      <c r="B227" s="740"/>
      <c r="C227" s="703">
        <v>0.220597441409951</v>
      </c>
      <c r="D227" s="703">
        <v>0.206319802169389</v>
      </c>
      <c r="E227" s="703">
        <v>9.0695549211004103E-2</v>
      </c>
      <c r="F227" s="703">
        <v>4.7438891496177901E-2</v>
      </c>
      <c r="G227" s="703">
        <v>4.2244478787815801E-2</v>
      </c>
      <c r="H227" s="703">
        <v>0.12508324891846401</v>
      </c>
      <c r="I227" s="703">
        <v>0.11517492866377201</v>
      </c>
      <c r="J227" s="704">
        <v>8.1075052347879303E-2</v>
      </c>
      <c r="K227" s="705">
        <v>6.2497651441075802E-2</v>
      </c>
      <c r="L227" s="705">
        <v>2.9007001303999899E-2</v>
      </c>
      <c r="M227" s="705">
        <v>2.7379999632225701E-2</v>
      </c>
      <c r="N227" s="623"/>
      <c r="O227" s="623"/>
      <c r="P227" s="701"/>
      <c r="Q227" s="702"/>
      <c r="R227" s="703"/>
      <c r="S227" s="703"/>
      <c r="T227" s="703"/>
      <c r="U227" s="703"/>
      <c r="V227" s="703"/>
      <c r="W227" s="703"/>
      <c r="X227" s="703"/>
      <c r="Y227" s="704"/>
      <c r="Z227" s="705"/>
      <c r="AA227" s="705"/>
      <c r="AB227" s="705"/>
    </row>
    <row r="228" spans="1:28">
      <c r="A228" s="623"/>
      <c r="B228" s="964"/>
      <c r="C228" s="623"/>
      <c r="D228" s="623"/>
      <c r="E228" s="623"/>
      <c r="F228" s="623"/>
      <c r="G228" s="623"/>
      <c r="H228" s="965"/>
      <c r="I228" s="965"/>
      <c r="J228" s="965"/>
      <c r="K228" s="965"/>
      <c r="L228" s="965"/>
      <c r="M228" s="965"/>
      <c r="N228" s="739"/>
      <c r="O228" s="623"/>
      <c r="P228" s="623"/>
      <c r="Q228" s="623"/>
      <c r="R228" s="623"/>
      <c r="S228" s="623"/>
      <c r="T228" s="623"/>
      <c r="U228" s="623"/>
      <c r="V228" s="965"/>
      <c r="W228" s="965"/>
      <c r="X228" s="965"/>
      <c r="Y228" s="965"/>
      <c r="Z228" s="965"/>
      <c r="AA228" s="965"/>
      <c r="AB228" s="965"/>
    </row>
    <row r="229" spans="1:28">
      <c r="A229" s="623"/>
      <c r="B229" s="964"/>
      <c r="C229" s="623"/>
      <c r="D229" s="623"/>
      <c r="E229" s="623"/>
      <c r="F229" s="623"/>
      <c r="G229" s="965"/>
      <c r="H229" s="965"/>
      <c r="I229" s="965"/>
      <c r="J229" s="965"/>
      <c r="K229" s="965"/>
      <c r="L229" s="965"/>
      <c r="M229" s="965"/>
      <c r="N229" s="965"/>
      <c r="O229" s="623"/>
      <c r="P229" s="623" t="s">
        <v>355</v>
      </c>
      <c r="Q229" s="623" t="s">
        <v>356</v>
      </c>
      <c r="R229" s="623"/>
      <c r="S229" s="623"/>
      <c r="T229" s="623"/>
      <c r="U229" s="623"/>
      <c r="V229" s="965"/>
      <c r="W229" s="965"/>
      <c r="X229" s="965"/>
      <c r="Y229" s="965"/>
      <c r="Z229" s="965"/>
      <c r="AA229" s="965"/>
      <c r="AB229" s="965"/>
    </row>
    <row r="230" spans="1:28">
      <c r="A230" s="625" t="s">
        <v>324</v>
      </c>
      <c r="B230" s="626"/>
      <c r="C230" s="625">
        <v>2010</v>
      </c>
      <c r="D230" s="623"/>
      <c r="E230" s="623"/>
      <c r="F230" s="623"/>
      <c r="G230" s="623"/>
      <c r="H230" s="623"/>
      <c r="I230" s="623"/>
      <c r="J230" s="623"/>
      <c r="K230" s="623"/>
      <c r="L230" s="623"/>
      <c r="M230" s="623"/>
      <c r="N230" s="623"/>
      <c r="O230" s="623"/>
      <c r="P230" s="625" t="s">
        <v>324</v>
      </c>
      <c r="Q230" s="625"/>
      <c r="R230" s="625">
        <v>2010</v>
      </c>
      <c r="S230" s="623"/>
      <c r="T230" s="623"/>
      <c r="U230" s="623"/>
      <c r="V230" s="627"/>
      <c r="W230" s="627"/>
      <c r="X230" s="627"/>
      <c r="Y230" s="627"/>
      <c r="Z230" s="627"/>
      <c r="AA230" s="627"/>
      <c r="AB230" s="627"/>
    </row>
    <row r="231" spans="1:28" ht="15.75" thickBot="1">
      <c r="A231" s="623"/>
      <c r="B231" s="964"/>
      <c r="C231" s="623"/>
      <c r="D231" s="623"/>
      <c r="E231" s="623"/>
      <c r="F231" s="623"/>
      <c r="G231" s="627"/>
      <c r="H231" s="627"/>
      <c r="I231" s="627"/>
      <c r="J231" s="627"/>
      <c r="K231" s="627"/>
      <c r="L231" s="627"/>
      <c r="M231" s="627"/>
      <c r="N231" s="627"/>
      <c r="O231" s="623"/>
      <c r="P231" s="623"/>
      <c r="Q231" s="623"/>
      <c r="R231" s="623"/>
      <c r="S231" s="623"/>
      <c r="T231" s="623"/>
      <c r="U231" s="623"/>
      <c r="V231" s="627"/>
      <c r="W231" s="627"/>
      <c r="X231" s="627"/>
      <c r="Y231" s="627"/>
      <c r="Z231" s="627"/>
      <c r="AA231" s="627"/>
      <c r="AB231" s="627"/>
    </row>
    <row r="232" spans="1:28">
      <c r="A232" s="629" t="s">
        <v>325</v>
      </c>
      <c r="B232" s="630" t="s">
        <v>326</v>
      </c>
      <c r="C232" s="631"/>
      <c r="D232" s="631"/>
      <c r="E232" s="631" t="s">
        <v>327</v>
      </c>
      <c r="F232" s="631"/>
      <c r="G232" s="631"/>
      <c r="H232" s="631"/>
      <c r="I232" s="631"/>
      <c r="J232" s="631"/>
      <c r="K232" s="629" t="s">
        <v>328</v>
      </c>
      <c r="L232" s="629" t="s">
        <v>329</v>
      </c>
      <c r="M232" s="629" t="s">
        <v>330</v>
      </c>
      <c r="N232" s="741"/>
      <c r="O232" s="623"/>
      <c r="P232" s="629" t="s">
        <v>325</v>
      </c>
      <c r="Q232" s="632" t="s">
        <v>326</v>
      </c>
      <c r="R232" s="631"/>
      <c r="S232" s="631"/>
      <c r="T232" s="631" t="s">
        <v>331</v>
      </c>
      <c r="U232" s="631"/>
      <c r="V232" s="631"/>
      <c r="W232" s="631"/>
      <c r="X232" s="631"/>
      <c r="Y232" s="631"/>
      <c r="Z232" s="629" t="s">
        <v>328</v>
      </c>
      <c r="AA232" s="629" t="s">
        <v>329</v>
      </c>
      <c r="AB232" s="629" t="s">
        <v>330</v>
      </c>
    </row>
    <row r="233" spans="1:28">
      <c r="A233" s="633" t="s">
        <v>332</v>
      </c>
      <c r="B233" s="1063" t="s">
        <v>333</v>
      </c>
      <c r="C233" s="634"/>
      <c r="D233" s="634"/>
      <c r="E233" s="634" t="s">
        <v>334</v>
      </c>
      <c r="F233" s="634"/>
      <c r="G233" s="634"/>
      <c r="H233" s="634"/>
      <c r="I233" s="634"/>
      <c r="J233" s="634"/>
      <c r="K233" s="635" t="s">
        <v>335</v>
      </c>
      <c r="L233" s="635" t="s">
        <v>335</v>
      </c>
      <c r="M233" s="635" t="s">
        <v>335</v>
      </c>
      <c r="N233" s="741"/>
      <c r="O233" s="623"/>
      <c r="P233" s="633" t="s">
        <v>332</v>
      </c>
      <c r="Q233" s="636" t="s">
        <v>333</v>
      </c>
      <c r="R233" s="634"/>
      <c r="S233" s="634"/>
      <c r="T233" s="634" t="s">
        <v>336</v>
      </c>
      <c r="U233" s="634"/>
      <c r="V233" s="634"/>
      <c r="W233" s="634"/>
      <c r="X233" s="634"/>
      <c r="Y233" s="634"/>
      <c r="Z233" s="635" t="s">
        <v>335</v>
      </c>
      <c r="AA233" s="635" t="s">
        <v>335</v>
      </c>
      <c r="AB233" s="635" t="s">
        <v>335</v>
      </c>
    </row>
    <row r="234" spans="1:28">
      <c r="A234" s="633" t="s">
        <v>337</v>
      </c>
      <c r="B234" s="1063" t="s">
        <v>53</v>
      </c>
      <c r="C234" s="637" t="s">
        <v>338</v>
      </c>
      <c r="D234" s="637" t="s">
        <v>339</v>
      </c>
      <c r="E234" s="637"/>
      <c r="F234" s="637"/>
      <c r="G234" s="637"/>
      <c r="H234" s="637"/>
      <c r="I234" s="637"/>
      <c r="J234" s="638" t="s">
        <v>164</v>
      </c>
      <c r="K234" s="633" t="s">
        <v>340</v>
      </c>
      <c r="L234" s="633" t="s">
        <v>341</v>
      </c>
      <c r="M234" s="633" t="s">
        <v>341</v>
      </c>
      <c r="N234" s="742"/>
      <c r="O234" s="623"/>
      <c r="P234" s="633" t="s">
        <v>337</v>
      </c>
      <c r="Q234" s="636" t="s">
        <v>53</v>
      </c>
      <c r="R234" s="637" t="s">
        <v>338</v>
      </c>
      <c r="S234" s="637" t="s">
        <v>339</v>
      </c>
      <c r="T234" s="637"/>
      <c r="U234" s="637"/>
      <c r="V234" s="637"/>
      <c r="W234" s="637"/>
      <c r="X234" s="637"/>
      <c r="Y234" s="638" t="s">
        <v>164</v>
      </c>
      <c r="Z234" s="633" t="s">
        <v>340</v>
      </c>
      <c r="AA234" s="633" t="s">
        <v>341</v>
      </c>
      <c r="AB234" s="633" t="s">
        <v>341</v>
      </c>
    </row>
    <row r="235" spans="1:28">
      <c r="A235" s="639"/>
      <c r="B235" s="1064"/>
      <c r="C235" s="640" t="s">
        <v>342</v>
      </c>
      <c r="D235" s="640" t="s">
        <v>343</v>
      </c>
      <c r="E235" s="640" t="s">
        <v>127</v>
      </c>
      <c r="F235" s="640" t="s">
        <v>56</v>
      </c>
      <c r="G235" s="640" t="s">
        <v>344</v>
      </c>
      <c r="H235" s="640" t="s">
        <v>345</v>
      </c>
      <c r="I235" s="640" t="s">
        <v>122</v>
      </c>
      <c r="J235" s="634" t="s">
        <v>346</v>
      </c>
      <c r="K235" s="641" t="s">
        <v>361</v>
      </c>
      <c r="L235" s="641" t="s">
        <v>362</v>
      </c>
      <c r="M235" s="641" t="s">
        <v>363</v>
      </c>
      <c r="N235" s="741"/>
      <c r="O235" s="623"/>
      <c r="P235" s="639"/>
      <c r="Q235" s="642"/>
      <c r="R235" s="640" t="s">
        <v>342</v>
      </c>
      <c r="S235" s="640" t="s">
        <v>343</v>
      </c>
      <c r="T235" s="640" t="s">
        <v>127</v>
      </c>
      <c r="U235" s="640" t="s">
        <v>56</v>
      </c>
      <c r="V235" s="640" t="s">
        <v>344</v>
      </c>
      <c r="W235" s="640" t="s">
        <v>345</v>
      </c>
      <c r="X235" s="640" t="s">
        <v>122</v>
      </c>
      <c r="Y235" s="634" t="s">
        <v>346</v>
      </c>
      <c r="Z235" s="641" t="s">
        <v>361</v>
      </c>
      <c r="AA235" s="641" t="s">
        <v>362</v>
      </c>
      <c r="AB235" s="641" t="s">
        <v>363</v>
      </c>
    </row>
    <row r="236" spans="1:28">
      <c r="A236" s="643" t="s">
        <v>127</v>
      </c>
      <c r="B236" s="1065">
        <v>117916</v>
      </c>
      <c r="C236" s="644">
        <v>50534</v>
      </c>
      <c r="D236" s="644">
        <v>48308</v>
      </c>
      <c r="E236" s="645" t="s">
        <v>68</v>
      </c>
      <c r="F236" s="644">
        <v>16687</v>
      </c>
      <c r="G236" s="644">
        <v>9869</v>
      </c>
      <c r="H236" s="644">
        <v>42847</v>
      </c>
      <c r="I236" s="644">
        <v>28966</v>
      </c>
      <c r="J236" s="646">
        <v>21814</v>
      </c>
      <c r="K236" s="647">
        <v>15432</v>
      </c>
      <c r="L236" s="647">
        <v>7019</v>
      </c>
      <c r="M236" s="647">
        <v>6600</v>
      </c>
      <c r="N236" s="646"/>
      <c r="O236" s="623"/>
      <c r="P236" s="643" t="s">
        <v>127</v>
      </c>
      <c r="Q236" s="648">
        <v>0.367905476474301</v>
      </c>
      <c r="R236" s="649">
        <v>0.71181778604503898</v>
      </c>
      <c r="S236" s="649">
        <v>0.72052248074852998</v>
      </c>
      <c r="T236" s="645" t="s">
        <v>68</v>
      </c>
      <c r="U236" s="649">
        <v>0.85437765925570797</v>
      </c>
      <c r="V236" s="649">
        <v>0.88610801499645397</v>
      </c>
      <c r="W236" s="649">
        <v>0.73463719747006795</v>
      </c>
      <c r="X236" s="649">
        <v>0.78105364910584796</v>
      </c>
      <c r="Y236" s="650">
        <v>0.82566241863023704</v>
      </c>
      <c r="Z236" s="651">
        <v>0.86242871954380496</v>
      </c>
      <c r="AA236" s="651">
        <v>0.91067103576008002</v>
      </c>
      <c r="AB236" s="651">
        <v>0.91318181818181798</v>
      </c>
    </row>
    <row r="237" spans="1:28">
      <c r="A237" s="652"/>
      <c r="B237" s="1066"/>
      <c r="C237" s="653">
        <v>0.42855931340954601</v>
      </c>
      <c r="D237" s="653">
        <v>0.40968146816377798</v>
      </c>
      <c r="E237" s="653"/>
      <c r="F237" s="653">
        <v>0.141515994436718</v>
      </c>
      <c r="G237" s="653">
        <v>8.3695172834899398E-2</v>
      </c>
      <c r="H237" s="653">
        <v>0.363368838834425</v>
      </c>
      <c r="I237" s="653">
        <v>0.24564944536788899</v>
      </c>
      <c r="J237" s="654">
        <v>0.184996098917874</v>
      </c>
      <c r="K237" s="654">
        <v>0.13087282472268399</v>
      </c>
      <c r="L237" s="654">
        <v>5.9525424878727203E-2</v>
      </c>
      <c r="M237" s="654">
        <v>5.5972047898503997E-2</v>
      </c>
      <c r="N237" s="743"/>
      <c r="O237" s="623"/>
      <c r="P237" s="652"/>
      <c r="Q237" s="655"/>
      <c r="R237" s="653"/>
      <c r="S237" s="653"/>
      <c r="T237" s="653"/>
      <c r="U237" s="653"/>
      <c r="V237" s="653"/>
      <c r="W237" s="653"/>
      <c r="X237" s="653"/>
      <c r="Y237" s="656"/>
      <c r="Z237" s="657"/>
      <c r="AA237" s="657"/>
      <c r="AB237" s="657"/>
    </row>
    <row r="238" spans="1:28">
      <c r="A238" s="643" t="s">
        <v>56</v>
      </c>
      <c r="B238" s="1067">
        <v>276156</v>
      </c>
      <c r="C238" s="644">
        <v>76326</v>
      </c>
      <c r="D238" s="644">
        <v>74517</v>
      </c>
      <c r="E238" s="644">
        <v>29759</v>
      </c>
      <c r="F238" s="645" t="s">
        <v>68</v>
      </c>
      <c r="G238" s="644">
        <v>18651</v>
      </c>
      <c r="H238" s="644">
        <v>63465</v>
      </c>
      <c r="I238" s="644">
        <v>46516</v>
      </c>
      <c r="J238" s="646">
        <v>18607</v>
      </c>
      <c r="K238" s="647">
        <v>27347</v>
      </c>
      <c r="L238" s="647">
        <v>9621</v>
      </c>
      <c r="M238" s="647">
        <v>9117</v>
      </c>
      <c r="N238" s="646"/>
      <c r="O238" s="623"/>
      <c r="P238" s="643" t="s">
        <v>56</v>
      </c>
      <c r="Q238" s="651">
        <v>0.146678498548062</v>
      </c>
      <c r="R238" s="649">
        <v>0.452218117024343</v>
      </c>
      <c r="S238" s="649">
        <v>0.44218097883704399</v>
      </c>
      <c r="T238" s="649">
        <v>0.67314089855169901</v>
      </c>
      <c r="U238" s="645" t="s">
        <v>68</v>
      </c>
      <c r="V238" s="649">
        <v>0.64511286258109501</v>
      </c>
      <c r="W238" s="649">
        <v>0.45005908768612601</v>
      </c>
      <c r="X238" s="649">
        <v>0.54123312408633595</v>
      </c>
      <c r="Y238" s="650">
        <v>0.67334873972161002</v>
      </c>
      <c r="Z238" s="651">
        <v>0.68969173949610596</v>
      </c>
      <c r="AA238" s="651">
        <v>0.81051865710425097</v>
      </c>
      <c r="AB238" s="651">
        <v>0.81704508061862502</v>
      </c>
    </row>
    <row r="239" spans="1:28">
      <c r="A239" s="652"/>
      <c r="B239" s="1066"/>
      <c r="C239" s="653">
        <v>0.27638725937513597</v>
      </c>
      <c r="D239" s="653">
        <v>0.26983661408769</v>
      </c>
      <c r="E239" s="653">
        <v>0.10776155506307999</v>
      </c>
      <c r="F239" s="653"/>
      <c r="G239" s="653">
        <v>6.7537913353322002E-2</v>
      </c>
      <c r="H239" s="653">
        <v>0.22981575631164999</v>
      </c>
      <c r="I239" s="653">
        <v>0.168441026086705</v>
      </c>
      <c r="J239" s="654">
        <v>6.7378583119686003E-2</v>
      </c>
      <c r="K239" s="654">
        <v>9.9027361346485293E-2</v>
      </c>
      <c r="L239" s="654">
        <v>3.4839004041194097E-2</v>
      </c>
      <c r="M239" s="654">
        <v>3.3013948637726498E-2</v>
      </c>
      <c r="N239" s="743"/>
      <c r="O239" s="623"/>
      <c r="P239" s="652"/>
      <c r="Q239" s="655"/>
      <c r="R239" s="653"/>
      <c r="S239" s="653"/>
      <c r="T239" s="653"/>
      <c r="U239" s="653"/>
      <c r="V239" s="653"/>
      <c r="W239" s="653"/>
      <c r="X239" s="653"/>
      <c r="Y239" s="656"/>
      <c r="Z239" s="657"/>
      <c r="AA239" s="657"/>
      <c r="AB239" s="657"/>
    </row>
    <row r="240" spans="1:28">
      <c r="A240" s="643" t="s">
        <v>344</v>
      </c>
      <c r="B240" s="1067">
        <v>131461</v>
      </c>
      <c r="C240" s="644">
        <v>22172</v>
      </c>
      <c r="D240" s="644">
        <v>21948</v>
      </c>
      <c r="E240" s="644">
        <v>6823</v>
      </c>
      <c r="F240" s="644">
        <v>5753</v>
      </c>
      <c r="G240" s="645" t="s">
        <v>68</v>
      </c>
      <c r="H240" s="644">
        <v>20106</v>
      </c>
      <c r="I240" s="644">
        <v>9192</v>
      </c>
      <c r="J240" s="646">
        <v>2950</v>
      </c>
      <c r="K240" s="647">
        <v>3254</v>
      </c>
      <c r="L240" s="647">
        <v>3254</v>
      </c>
      <c r="M240" s="647">
        <v>2813</v>
      </c>
      <c r="N240" s="646"/>
      <c r="O240" s="623"/>
      <c r="P240" s="643" t="s">
        <v>344</v>
      </c>
      <c r="Q240" s="651">
        <v>9.1398828241368996E-2</v>
      </c>
      <c r="R240" s="649">
        <v>0.31390943532383198</v>
      </c>
      <c r="S240" s="649">
        <v>0.30950428285037401</v>
      </c>
      <c r="T240" s="649">
        <v>0.51385021251648799</v>
      </c>
      <c r="U240" s="649">
        <v>0.51086389709716695</v>
      </c>
      <c r="V240" s="645" t="s">
        <v>68</v>
      </c>
      <c r="W240" s="649">
        <v>0.29821943698398501</v>
      </c>
      <c r="X240" s="649">
        <v>0.467036553524804</v>
      </c>
      <c r="Y240" s="650">
        <v>0.54271186440677999</v>
      </c>
      <c r="Z240" s="651">
        <v>0.63153042409342397</v>
      </c>
      <c r="AA240" s="651">
        <v>0.63153042409342397</v>
      </c>
      <c r="AB240" s="651">
        <v>0.66832563099893305</v>
      </c>
    </row>
    <row r="241" spans="1:28">
      <c r="A241" s="652"/>
      <c r="B241" s="1066"/>
      <c r="C241" s="653">
        <v>0.16865838537665201</v>
      </c>
      <c r="D241" s="653">
        <v>0.16695445797613001</v>
      </c>
      <c r="E241" s="653">
        <v>5.1901324347144798E-2</v>
      </c>
      <c r="F241" s="653">
        <v>4.3762028282152102E-2</v>
      </c>
      <c r="G241" s="653"/>
      <c r="H241" s="653">
        <v>0.152942697834339</v>
      </c>
      <c r="I241" s="653">
        <v>6.9921877971413596E-2</v>
      </c>
      <c r="J241" s="654">
        <v>2.24401153193723E-2</v>
      </c>
      <c r="K241" s="654">
        <v>2.4752588220080501E-2</v>
      </c>
      <c r="L241" s="654">
        <v>2.4752588220080501E-2</v>
      </c>
      <c r="M241" s="654">
        <v>2.13979811503031E-2</v>
      </c>
      <c r="N241" s="743"/>
      <c r="O241" s="623"/>
      <c r="P241" s="652"/>
      <c r="Q241" s="655"/>
      <c r="R241" s="653"/>
      <c r="S241" s="653"/>
      <c r="T241" s="653"/>
      <c r="U241" s="653"/>
      <c r="V241" s="659"/>
      <c r="W241" s="653"/>
      <c r="X241" s="653"/>
      <c r="Y241" s="656"/>
      <c r="Z241" s="657"/>
      <c r="AA241" s="657"/>
      <c r="AB241" s="657"/>
    </row>
    <row r="242" spans="1:28">
      <c r="A242" s="643" t="s">
        <v>347</v>
      </c>
      <c r="B242" s="1067">
        <v>227907</v>
      </c>
      <c r="C242" s="644">
        <v>82419</v>
      </c>
      <c r="D242" s="644">
        <v>71275</v>
      </c>
      <c r="E242" s="644">
        <v>60003</v>
      </c>
      <c r="F242" s="644">
        <v>30705</v>
      </c>
      <c r="G242" s="644">
        <v>20146</v>
      </c>
      <c r="H242" s="658" t="s">
        <v>68</v>
      </c>
      <c r="I242" s="644">
        <v>44364</v>
      </c>
      <c r="J242" s="646">
        <v>49256</v>
      </c>
      <c r="K242" s="647">
        <v>27218</v>
      </c>
      <c r="L242" s="647">
        <v>14090</v>
      </c>
      <c r="M242" s="647">
        <v>13281</v>
      </c>
      <c r="N242" s="646"/>
      <c r="O242" s="623"/>
      <c r="P242" s="643" t="s">
        <v>347</v>
      </c>
      <c r="Q242" s="651">
        <v>0.23555925603640901</v>
      </c>
      <c r="R242" s="649">
        <v>0.69291061527075104</v>
      </c>
      <c r="S242" s="649">
        <v>0.73077516660820796</v>
      </c>
      <c r="T242" s="649">
        <v>0.78544406113027698</v>
      </c>
      <c r="U242" s="649">
        <v>0.814036801823807</v>
      </c>
      <c r="V242" s="649">
        <v>0.88042291273702</v>
      </c>
      <c r="W242" s="658" t="s">
        <v>68</v>
      </c>
      <c r="X242" s="649">
        <v>0.73897754936434901</v>
      </c>
      <c r="Y242" s="650">
        <v>0.74078284878999501</v>
      </c>
      <c r="Z242" s="651">
        <v>0.85491219046219402</v>
      </c>
      <c r="AA242" s="651">
        <v>0.91674946770759402</v>
      </c>
      <c r="AB242" s="651">
        <v>0.92056321060161095</v>
      </c>
    </row>
    <row r="243" spans="1:28">
      <c r="A243" s="652"/>
      <c r="B243" s="1077"/>
      <c r="C243" s="653">
        <v>0.36163435085363799</v>
      </c>
      <c r="D243" s="653">
        <v>0.31273721298599899</v>
      </c>
      <c r="E243" s="653">
        <v>0.26327844252260801</v>
      </c>
      <c r="F243" s="653">
        <v>0.13472600666061199</v>
      </c>
      <c r="G243" s="653">
        <v>8.8395705265744404E-2</v>
      </c>
      <c r="H243" s="653"/>
      <c r="I243" s="653">
        <v>0.194658347483842</v>
      </c>
      <c r="J243" s="654">
        <v>0.21612324325273</v>
      </c>
      <c r="K243" s="654">
        <v>0.11942590618102999</v>
      </c>
      <c r="L243" s="654">
        <v>6.18234630792385E-2</v>
      </c>
      <c r="M243" s="654">
        <v>5.8273769563901102E-2</v>
      </c>
      <c r="N243" s="743"/>
      <c r="O243" s="623"/>
      <c r="P243" s="652"/>
      <c r="Q243" s="661"/>
      <c r="R243" s="653"/>
      <c r="S243" s="653"/>
      <c r="T243" s="653"/>
      <c r="U243" s="653"/>
      <c r="V243" s="653"/>
      <c r="W243" s="738"/>
      <c r="X243" s="653"/>
      <c r="Y243" s="656"/>
      <c r="Z243" s="657"/>
      <c r="AA243" s="657"/>
      <c r="AB243" s="657"/>
    </row>
    <row r="244" spans="1:28">
      <c r="A244" s="643" t="s">
        <v>122</v>
      </c>
      <c r="B244" s="1067">
        <v>291960</v>
      </c>
      <c r="C244" s="644">
        <v>12888</v>
      </c>
      <c r="D244" s="644">
        <v>12513</v>
      </c>
      <c r="E244" s="644">
        <v>5089</v>
      </c>
      <c r="F244" s="644">
        <v>2641</v>
      </c>
      <c r="G244" s="644">
        <v>1369</v>
      </c>
      <c r="H244" s="644">
        <v>11198</v>
      </c>
      <c r="I244" s="658" t="s">
        <v>68</v>
      </c>
      <c r="J244" s="646">
        <v>2234</v>
      </c>
      <c r="K244" s="647">
        <v>1701</v>
      </c>
      <c r="L244" s="647">
        <v>806</v>
      </c>
      <c r="M244" s="647">
        <v>806</v>
      </c>
      <c r="N244" s="646"/>
      <c r="O244" s="623"/>
      <c r="P244" s="643" t="s">
        <v>122</v>
      </c>
      <c r="Q244" s="651">
        <v>5.4593523280457697E-2</v>
      </c>
      <c r="R244" s="649">
        <v>0.53887337057728102</v>
      </c>
      <c r="S244" s="649">
        <v>0.53784064572844204</v>
      </c>
      <c r="T244" s="649">
        <v>0.88229514639418305</v>
      </c>
      <c r="U244" s="649">
        <v>0.75691026126467198</v>
      </c>
      <c r="V244" s="649">
        <v>0.86997808619430195</v>
      </c>
      <c r="W244" s="649">
        <v>0.52071798535452796</v>
      </c>
      <c r="X244" s="658" t="s">
        <v>68</v>
      </c>
      <c r="Y244" s="650">
        <v>0.79677708146821802</v>
      </c>
      <c r="Z244" s="651">
        <v>0.93004115226337403</v>
      </c>
      <c r="AA244" s="651">
        <v>0.97890818858560802</v>
      </c>
      <c r="AB244" s="651">
        <v>0.97890818858560802</v>
      </c>
    </row>
    <row r="245" spans="1:28">
      <c r="A245" s="662"/>
      <c r="B245" s="1078"/>
      <c r="C245" s="663">
        <v>4.4143033292231799E-2</v>
      </c>
      <c r="D245" s="664">
        <v>4.2858610768598399E-2</v>
      </c>
      <c r="E245" s="664">
        <v>1.7430469927387299E-2</v>
      </c>
      <c r="F245" s="664">
        <v>9.0457596931086508E-3</v>
      </c>
      <c r="G245" s="664">
        <v>4.6889984929442399E-3</v>
      </c>
      <c r="H245" s="664">
        <v>3.8354569119057401E-2</v>
      </c>
      <c r="I245" s="664"/>
      <c r="J245" s="665">
        <v>7.6517331141252197E-3</v>
      </c>
      <c r="K245" s="666">
        <v>5.8261405672009898E-3</v>
      </c>
      <c r="L245" s="666">
        <v>2.7606521441293302E-3</v>
      </c>
      <c r="M245" s="666">
        <v>2.7606521441293302E-3</v>
      </c>
      <c r="N245" s="743"/>
      <c r="O245" s="623"/>
      <c r="P245" s="662"/>
      <c r="Q245" s="667"/>
      <c r="R245" s="664"/>
      <c r="S245" s="664"/>
      <c r="T245" s="664"/>
      <c r="U245" s="664"/>
      <c r="V245" s="664"/>
      <c r="W245" s="664"/>
      <c r="X245" s="664"/>
      <c r="Y245" s="665"/>
      <c r="Z245" s="666"/>
      <c r="AA245" s="666"/>
      <c r="AB245" s="666"/>
    </row>
    <row r="246" spans="1:28">
      <c r="A246" s="668" t="s">
        <v>348</v>
      </c>
      <c r="B246" s="744">
        <v>1045400</v>
      </c>
      <c r="C246" s="670">
        <v>244339</v>
      </c>
      <c r="D246" s="670">
        <v>228561</v>
      </c>
      <c r="E246" s="670">
        <v>101674</v>
      </c>
      <c r="F246" s="670">
        <v>55786</v>
      </c>
      <c r="G246" s="670">
        <v>50035</v>
      </c>
      <c r="H246" s="670">
        <v>137616</v>
      </c>
      <c r="I246" s="670">
        <v>129038</v>
      </c>
      <c r="J246" s="671">
        <v>94861</v>
      </c>
      <c r="K246" s="672">
        <v>74952</v>
      </c>
      <c r="L246" s="672">
        <v>34790</v>
      </c>
      <c r="M246" s="672">
        <v>32617</v>
      </c>
      <c r="N246" s="671"/>
      <c r="O246" s="623"/>
      <c r="P246" s="668" t="s">
        <v>348</v>
      </c>
      <c r="Q246" s="673">
        <v>0.17087524139653601</v>
      </c>
      <c r="R246" s="674">
        <v>0.57911753751959405</v>
      </c>
      <c r="S246" s="674">
        <v>0.58350287231855003</v>
      </c>
      <c r="T246" s="674">
        <v>0.73919586128213699</v>
      </c>
      <c r="U246" s="674">
        <v>0.792134227225469</v>
      </c>
      <c r="V246" s="674">
        <v>0.79354451883681398</v>
      </c>
      <c r="W246" s="674">
        <v>0.522228519939542</v>
      </c>
      <c r="X246" s="674">
        <v>0.65776747934716895</v>
      </c>
      <c r="Y246" s="675">
        <v>0.74223337304055403</v>
      </c>
      <c r="Z246" s="673">
        <v>0.78818443804034599</v>
      </c>
      <c r="AA246" s="673">
        <v>0.86090830698476595</v>
      </c>
      <c r="AB246" s="673">
        <v>0.86982248520710104</v>
      </c>
    </row>
    <row r="247" spans="1:28">
      <c r="A247" s="676" t="s">
        <v>349</v>
      </c>
      <c r="B247" s="677"/>
      <c r="C247" s="682">
        <v>0.23372775970920201</v>
      </c>
      <c r="D247" s="682">
        <v>0.21863497225942199</v>
      </c>
      <c r="E247" s="682">
        <v>9.7258465659077906E-2</v>
      </c>
      <c r="F247" s="682">
        <v>5.3363305911612799E-2</v>
      </c>
      <c r="G247" s="682">
        <v>4.7862062368471403E-2</v>
      </c>
      <c r="H247" s="682">
        <v>0.131639563803329</v>
      </c>
      <c r="I247" s="682">
        <v>0.123434092213507</v>
      </c>
      <c r="J247" s="683">
        <v>9.0741343026592702E-2</v>
      </c>
      <c r="K247" s="684">
        <v>7.1696958102161895E-2</v>
      </c>
      <c r="L247" s="684">
        <v>3.3279127606657702E-2</v>
      </c>
      <c r="M247" s="684">
        <v>3.1200497417256601E-2</v>
      </c>
      <c r="N247" s="706"/>
      <c r="O247" s="623"/>
      <c r="P247" s="676" t="s">
        <v>349</v>
      </c>
      <c r="Q247" s="681"/>
      <c r="R247" s="682"/>
      <c r="S247" s="682"/>
      <c r="T247" s="682"/>
      <c r="U247" s="682"/>
      <c r="V247" s="682"/>
      <c r="W247" s="682"/>
      <c r="X247" s="682"/>
      <c r="Y247" s="683"/>
      <c r="Z247" s="684"/>
      <c r="AA247" s="684"/>
      <c r="AB247" s="684"/>
    </row>
    <row r="248" spans="1:28">
      <c r="A248" s="643" t="s">
        <v>51</v>
      </c>
      <c r="B248" s="1067">
        <v>75585</v>
      </c>
      <c r="C248" s="644">
        <v>17434</v>
      </c>
      <c r="D248" s="644">
        <v>17434</v>
      </c>
      <c r="E248" s="644">
        <v>4716</v>
      </c>
      <c r="F248" s="644">
        <v>2259</v>
      </c>
      <c r="G248" s="644">
        <v>1192</v>
      </c>
      <c r="H248" s="644">
        <v>15707</v>
      </c>
      <c r="I248" s="644">
        <v>3358</v>
      </c>
      <c r="J248" s="685" t="s">
        <v>68</v>
      </c>
      <c r="K248" s="686">
        <v>1473</v>
      </c>
      <c r="L248" s="686">
        <v>652</v>
      </c>
      <c r="M248" s="686">
        <v>491</v>
      </c>
      <c r="N248" s="646"/>
      <c r="O248" s="623"/>
      <c r="P248" s="643" t="s">
        <v>51</v>
      </c>
      <c r="Q248" s="651">
        <v>9.5383316130243007E-2</v>
      </c>
      <c r="R248" s="649">
        <v>0.25823104278995102</v>
      </c>
      <c r="S248" s="649">
        <v>0.25823104278995102</v>
      </c>
      <c r="T248" s="649">
        <v>0.67345207803223095</v>
      </c>
      <c r="U248" s="649">
        <v>0.51173085436033605</v>
      </c>
      <c r="V248" s="649">
        <v>0.68372483221476499</v>
      </c>
      <c r="W248" s="649">
        <v>0.249379257655822</v>
      </c>
      <c r="X248" s="649">
        <v>0.565217391304348</v>
      </c>
      <c r="Y248" s="658" t="s">
        <v>68</v>
      </c>
      <c r="Z248" s="651">
        <v>0.67956551255940301</v>
      </c>
      <c r="AA248" s="651">
        <v>0.82515337423312896</v>
      </c>
      <c r="AB248" s="651">
        <v>0.96537678207739297</v>
      </c>
    </row>
    <row r="249" spans="1:28">
      <c r="A249" s="687"/>
      <c r="B249" s="1064"/>
      <c r="C249" s="688">
        <v>0.23065423033670701</v>
      </c>
      <c r="D249" s="688">
        <v>0.23065423033670701</v>
      </c>
      <c r="E249" s="688">
        <v>6.2393332010319498E-2</v>
      </c>
      <c r="F249" s="688">
        <v>2.9886882317920201E-2</v>
      </c>
      <c r="G249" s="688">
        <v>1.5770324799894202E-2</v>
      </c>
      <c r="H249" s="688">
        <v>0.20780578157041699</v>
      </c>
      <c r="I249" s="688">
        <v>4.4426804260104501E-2</v>
      </c>
      <c r="J249" s="689"/>
      <c r="K249" s="690">
        <v>1.9487993649533599E-2</v>
      </c>
      <c r="L249" s="690">
        <v>8.6260501422239892E-3</v>
      </c>
      <c r="M249" s="690">
        <v>6.4959978831778797E-3</v>
      </c>
      <c r="N249" s="743"/>
      <c r="O249" s="623"/>
      <c r="P249" s="687"/>
      <c r="Q249" s="642"/>
      <c r="R249" s="688"/>
      <c r="S249" s="688"/>
      <c r="T249" s="688"/>
      <c r="U249" s="688"/>
      <c r="V249" s="688"/>
      <c r="W249" s="688"/>
      <c r="X249" s="688"/>
      <c r="Y249" s="689"/>
      <c r="Z249" s="690"/>
      <c r="AA249" s="690"/>
      <c r="AB249" s="690"/>
    </row>
    <row r="250" spans="1:28">
      <c r="A250" s="668" t="s">
        <v>350</v>
      </c>
      <c r="B250" s="691">
        <v>1120985</v>
      </c>
      <c r="C250" s="692">
        <v>261773</v>
      </c>
      <c r="D250" s="693">
        <v>245995</v>
      </c>
      <c r="E250" s="693">
        <v>106390</v>
      </c>
      <c r="F250" s="693">
        <v>58045</v>
      </c>
      <c r="G250" s="693">
        <v>51227</v>
      </c>
      <c r="H250" s="693">
        <v>153323</v>
      </c>
      <c r="I250" s="693">
        <v>132396</v>
      </c>
      <c r="J250" s="694">
        <v>94861</v>
      </c>
      <c r="K250" s="695">
        <v>76425</v>
      </c>
      <c r="L250" s="695">
        <v>35442</v>
      </c>
      <c r="M250" s="695">
        <v>33108</v>
      </c>
      <c r="N250" s="745"/>
      <c r="O250" s="623"/>
      <c r="P250" s="668" t="s">
        <v>350</v>
      </c>
      <c r="Q250" s="696">
        <v>0.16566083258594599</v>
      </c>
      <c r="R250" s="697">
        <v>0.55774659724264897</v>
      </c>
      <c r="S250" s="698">
        <v>0.56045041565885501</v>
      </c>
      <c r="T250" s="698">
        <v>0.73628160541404297</v>
      </c>
      <c r="U250" s="698">
        <v>0.78122146610388499</v>
      </c>
      <c r="V250" s="698">
        <v>0.79098912682764899</v>
      </c>
      <c r="W250" s="698">
        <v>0.49427678821833598</v>
      </c>
      <c r="X250" s="698">
        <v>0.65542010332638401</v>
      </c>
      <c r="Y250" s="699">
        <v>0.74223337304055403</v>
      </c>
      <c r="Z250" s="700">
        <v>0.78609093882891701</v>
      </c>
      <c r="AA250" s="700">
        <v>0.86025055019468399</v>
      </c>
      <c r="AB250" s="700">
        <v>0.87123957955781095</v>
      </c>
    </row>
    <row r="251" spans="1:28" ht="15.75" thickBot="1">
      <c r="A251" s="701"/>
      <c r="B251" s="740"/>
      <c r="C251" s="703">
        <v>0.23352051989990899</v>
      </c>
      <c r="D251" s="703">
        <v>0.219445398466527</v>
      </c>
      <c r="E251" s="703">
        <v>9.4907603580779404E-2</v>
      </c>
      <c r="F251" s="703">
        <v>5.17803538851992E-2</v>
      </c>
      <c r="G251" s="703">
        <v>4.56982029197536E-2</v>
      </c>
      <c r="H251" s="703">
        <v>0.136775246769582</v>
      </c>
      <c r="I251" s="703">
        <v>0.11810684353492699</v>
      </c>
      <c r="J251" s="704">
        <v>8.4622898611489E-2</v>
      </c>
      <c r="K251" s="705">
        <v>6.8176648215631797E-2</v>
      </c>
      <c r="L251" s="705">
        <v>3.16168369781933E-2</v>
      </c>
      <c r="M251" s="705">
        <v>2.9534739537103501E-2</v>
      </c>
      <c r="N251" s="706"/>
      <c r="O251" s="623"/>
      <c r="P251" s="701"/>
      <c r="Q251" s="702"/>
      <c r="R251" s="703"/>
      <c r="S251" s="703"/>
      <c r="T251" s="703"/>
      <c r="U251" s="703"/>
      <c r="V251" s="703"/>
      <c r="W251" s="703"/>
      <c r="X251" s="703"/>
      <c r="Y251" s="704"/>
      <c r="Z251" s="705"/>
      <c r="AA251" s="705"/>
      <c r="AB251" s="705"/>
    </row>
    <row r="252" spans="1:28">
      <c r="A252" s="623"/>
      <c r="B252" s="964"/>
      <c r="C252" s="623"/>
      <c r="D252" s="623"/>
      <c r="E252" s="623"/>
      <c r="F252" s="623"/>
      <c r="G252" s="623"/>
      <c r="H252" s="965"/>
      <c r="I252" s="965"/>
      <c r="J252" s="965"/>
      <c r="K252" s="965"/>
      <c r="L252" s="965"/>
      <c r="M252" s="965"/>
      <c r="N252" s="739"/>
      <c r="O252" s="623"/>
      <c r="P252" s="623"/>
      <c r="Q252" s="623"/>
      <c r="R252" s="623"/>
      <c r="S252" s="623"/>
      <c r="T252" s="623"/>
      <c r="U252" s="623"/>
      <c r="V252" s="965"/>
      <c r="W252" s="965"/>
      <c r="X252" s="965"/>
      <c r="Y252" s="965"/>
      <c r="Z252" s="965"/>
      <c r="AA252" s="965"/>
      <c r="AB252" s="965"/>
    </row>
    <row r="253" spans="1:28">
      <c r="A253" s="623"/>
      <c r="B253" s="964"/>
      <c r="C253" s="623"/>
      <c r="D253" s="623"/>
      <c r="E253" s="623"/>
      <c r="F253" s="623"/>
      <c r="G253" s="965"/>
      <c r="H253" s="965"/>
      <c r="I253" s="965"/>
      <c r="J253" s="965"/>
      <c r="K253" s="965"/>
      <c r="L253" s="965"/>
      <c r="M253" s="965"/>
      <c r="N253" s="965"/>
      <c r="O253" s="623"/>
      <c r="P253" s="623" t="s">
        <v>355</v>
      </c>
      <c r="Q253" s="623" t="s">
        <v>356</v>
      </c>
      <c r="R253" s="623"/>
      <c r="S253" s="623"/>
      <c r="T253" s="623"/>
      <c r="U253" s="623"/>
      <c r="V253" s="965"/>
      <c r="W253" s="965"/>
      <c r="X253" s="965"/>
      <c r="Y253" s="965"/>
      <c r="Z253" s="965"/>
      <c r="AA253" s="965"/>
      <c r="AB253" s="965"/>
    </row>
    <row r="254" spans="1:28">
      <c r="A254" s="625" t="s">
        <v>324</v>
      </c>
      <c r="B254" s="626"/>
      <c r="C254" s="625">
        <v>2009</v>
      </c>
      <c r="D254" s="623"/>
      <c r="E254" s="623"/>
      <c r="F254" s="623"/>
      <c r="G254" s="623"/>
      <c r="H254" s="623"/>
      <c r="I254" s="623"/>
      <c r="J254" s="623"/>
      <c r="K254" s="623"/>
      <c r="L254" s="623"/>
      <c r="M254" s="623"/>
      <c r="N254" s="623"/>
      <c r="O254" s="623"/>
      <c r="P254" s="625" t="s">
        <v>324</v>
      </c>
      <c r="Q254" s="625"/>
      <c r="R254" s="625">
        <v>2009</v>
      </c>
      <c r="S254" s="623"/>
      <c r="T254" s="623"/>
      <c r="U254" s="623"/>
      <c r="V254" s="627"/>
      <c r="W254" s="627"/>
      <c r="X254" s="627"/>
      <c r="Y254" s="627"/>
      <c r="Z254" s="627"/>
      <c r="AA254" s="627"/>
      <c r="AB254" s="627"/>
    </row>
    <row r="255" spans="1:28" ht="15.75" thickBot="1">
      <c r="A255" s="623"/>
      <c r="B255" s="964"/>
      <c r="C255" s="623"/>
      <c r="D255" s="623"/>
      <c r="E255" s="623"/>
      <c r="F255" s="623"/>
      <c r="G255" s="627"/>
      <c r="H255" s="627"/>
      <c r="I255" s="627"/>
      <c r="J255" s="627"/>
      <c r="K255" s="627"/>
      <c r="L255" s="627"/>
      <c r="M255" s="627"/>
      <c r="N255" s="627"/>
      <c r="O255" s="623"/>
      <c r="P255" s="623"/>
      <c r="Q255" s="623"/>
      <c r="R255" s="623"/>
      <c r="S255" s="623"/>
      <c r="T255" s="623"/>
      <c r="U255" s="623"/>
      <c r="V255" s="627"/>
      <c r="W255" s="627"/>
      <c r="X255" s="627"/>
      <c r="Y255" s="627"/>
      <c r="Z255" s="627"/>
      <c r="AA255" s="627"/>
      <c r="AB255" s="627"/>
    </row>
    <row r="256" spans="1:28">
      <c r="A256" s="629" t="s">
        <v>325</v>
      </c>
      <c r="B256" s="630" t="s">
        <v>326</v>
      </c>
      <c r="C256" s="631"/>
      <c r="D256" s="631"/>
      <c r="E256" s="631" t="s">
        <v>327</v>
      </c>
      <c r="F256" s="631"/>
      <c r="G256" s="631"/>
      <c r="H256" s="631"/>
      <c r="I256" s="631"/>
      <c r="J256" s="631"/>
      <c r="K256" s="629" t="s">
        <v>328</v>
      </c>
      <c r="L256" s="629" t="s">
        <v>329</v>
      </c>
      <c r="M256" s="629" t="s">
        <v>330</v>
      </c>
      <c r="N256" s="741"/>
      <c r="O256" s="623"/>
      <c r="P256" s="629" t="s">
        <v>325</v>
      </c>
      <c r="Q256" s="632" t="s">
        <v>326</v>
      </c>
      <c r="R256" s="631"/>
      <c r="S256" s="631"/>
      <c r="T256" s="631" t="s">
        <v>331</v>
      </c>
      <c r="U256" s="631"/>
      <c r="V256" s="631"/>
      <c r="W256" s="631"/>
      <c r="X256" s="631"/>
      <c r="Y256" s="631"/>
      <c r="Z256" s="629" t="s">
        <v>328</v>
      </c>
      <c r="AA256" s="629" t="s">
        <v>329</v>
      </c>
      <c r="AB256" s="629" t="s">
        <v>330</v>
      </c>
    </row>
    <row r="257" spans="1:28">
      <c r="A257" s="633" t="s">
        <v>332</v>
      </c>
      <c r="B257" s="1063" t="s">
        <v>333</v>
      </c>
      <c r="C257" s="634"/>
      <c r="D257" s="634"/>
      <c r="E257" s="634" t="s">
        <v>334</v>
      </c>
      <c r="F257" s="634"/>
      <c r="G257" s="634"/>
      <c r="H257" s="634"/>
      <c r="I257" s="634"/>
      <c r="J257" s="634"/>
      <c r="K257" s="635" t="s">
        <v>335</v>
      </c>
      <c r="L257" s="635" t="s">
        <v>335</v>
      </c>
      <c r="M257" s="635" t="s">
        <v>335</v>
      </c>
      <c r="N257" s="741"/>
      <c r="O257" s="623"/>
      <c r="P257" s="633" t="s">
        <v>332</v>
      </c>
      <c r="Q257" s="636" t="s">
        <v>333</v>
      </c>
      <c r="R257" s="634"/>
      <c r="S257" s="634"/>
      <c r="T257" s="634" t="s">
        <v>336</v>
      </c>
      <c r="U257" s="634"/>
      <c r="V257" s="634"/>
      <c r="W257" s="634"/>
      <c r="X257" s="634"/>
      <c r="Y257" s="634"/>
      <c r="Z257" s="635" t="s">
        <v>335</v>
      </c>
      <c r="AA257" s="635" t="s">
        <v>335</v>
      </c>
      <c r="AB257" s="635" t="s">
        <v>335</v>
      </c>
    </row>
    <row r="258" spans="1:28">
      <c r="A258" s="633" t="s">
        <v>337</v>
      </c>
      <c r="B258" s="1063" t="s">
        <v>53</v>
      </c>
      <c r="C258" s="637" t="s">
        <v>338</v>
      </c>
      <c r="D258" s="637" t="s">
        <v>339</v>
      </c>
      <c r="E258" s="637"/>
      <c r="F258" s="637"/>
      <c r="G258" s="637"/>
      <c r="H258" s="637"/>
      <c r="I258" s="637"/>
      <c r="J258" s="638" t="s">
        <v>164</v>
      </c>
      <c r="K258" s="633" t="s">
        <v>340</v>
      </c>
      <c r="L258" s="633" t="s">
        <v>341</v>
      </c>
      <c r="M258" s="633" t="s">
        <v>341</v>
      </c>
      <c r="N258" s="742"/>
      <c r="O258" s="623"/>
      <c r="P258" s="633" t="s">
        <v>337</v>
      </c>
      <c r="Q258" s="636" t="s">
        <v>53</v>
      </c>
      <c r="R258" s="637" t="s">
        <v>338</v>
      </c>
      <c r="S258" s="637" t="s">
        <v>339</v>
      </c>
      <c r="T258" s="637"/>
      <c r="U258" s="637"/>
      <c r="V258" s="637"/>
      <c r="W258" s="637"/>
      <c r="X258" s="637"/>
      <c r="Y258" s="638" t="s">
        <v>164</v>
      </c>
      <c r="Z258" s="633" t="s">
        <v>340</v>
      </c>
      <c r="AA258" s="633" t="s">
        <v>341</v>
      </c>
      <c r="AB258" s="633" t="s">
        <v>341</v>
      </c>
    </row>
    <row r="259" spans="1:28">
      <c r="A259" s="639"/>
      <c r="B259" s="1064"/>
      <c r="C259" s="640" t="s">
        <v>342</v>
      </c>
      <c r="D259" s="640" t="s">
        <v>343</v>
      </c>
      <c r="E259" s="640" t="s">
        <v>127</v>
      </c>
      <c r="F259" s="640" t="s">
        <v>56</v>
      </c>
      <c r="G259" s="640" t="s">
        <v>344</v>
      </c>
      <c r="H259" s="640" t="s">
        <v>345</v>
      </c>
      <c r="I259" s="640" t="s">
        <v>122</v>
      </c>
      <c r="J259" s="634" t="s">
        <v>346</v>
      </c>
      <c r="K259" s="641" t="s">
        <v>361</v>
      </c>
      <c r="L259" s="641" t="s">
        <v>362</v>
      </c>
      <c r="M259" s="641" t="s">
        <v>363</v>
      </c>
      <c r="N259" s="741"/>
      <c r="O259" s="623"/>
      <c r="P259" s="639"/>
      <c r="Q259" s="642"/>
      <c r="R259" s="640" t="s">
        <v>342</v>
      </c>
      <c r="S259" s="640" t="s">
        <v>343</v>
      </c>
      <c r="T259" s="640" t="s">
        <v>127</v>
      </c>
      <c r="U259" s="640" t="s">
        <v>56</v>
      </c>
      <c r="V259" s="640" t="s">
        <v>344</v>
      </c>
      <c r="W259" s="640" t="s">
        <v>345</v>
      </c>
      <c r="X259" s="640" t="s">
        <v>122</v>
      </c>
      <c r="Y259" s="634" t="s">
        <v>346</v>
      </c>
      <c r="Z259" s="641" t="s">
        <v>361</v>
      </c>
      <c r="AA259" s="641" t="s">
        <v>362</v>
      </c>
      <c r="AB259" s="641" t="s">
        <v>363</v>
      </c>
    </row>
    <row r="260" spans="1:28">
      <c r="A260" s="643" t="s">
        <v>127</v>
      </c>
      <c r="B260" s="1065">
        <v>132568</v>
      </c>
      <c r="C260" s="644">
        <v>49097</v>
      </c>
      <c r="D260" s="644">
        <v>46894</v>
      </c>
      <c r="E260" s="645" t="s">
        <v>68</v>
      </c>
      <c r="F260" s="644">
        <v>17416</v>
      </c>
      <c r="G260" s="644">
        <v>9862</v>
      </c>
      <c r="H260" s="644">
        <v>42358</v>
      </c>
      <c r="I260" s="644">
        <v>27172</v>
      </c>
      <c r="J260" s="646">
        <v>21517</v>
      </c>
      <c r="K260" s="647">
        <v>16492</v>
      </c>
      <c r="L260" s="647">
        <v>7524</v>
      </c>
      <c r="M260" s="647">
        <v>7113</v>
      </c>
      <c r="N260" s="646"/>
      <c r="O260" s="623"/>
      <c r="P260" s="643" t="s">
        <v>127</v>
      </c>
      <c r="Q260" s="648">
        <v>0.360876789366053</v>
      </c>
      <c r="R260" s="649">
        <v>0.71487056235615198</v>
      </c>
      <c r="S260" s="649">
        <v>0.72525269757324995</v>
      </c>
      <c r="T260" s="645" t="s">
        <v>68</v>
      </c>
      <c r="U260" s="649">
        <v>0.85559255856683503</v>
      </c>
      <c r="V260" s="649">
        <v>0.89677550192658695</v>
      </c>
      <c r="W260" s="649">
        <v>0.73981302233344304</v>
      </c>
      <c r="X260" s="649">
        <v>0.80976740762549704</v>
      </c>
      <c r="Y260" s="650">
        <v>0.83399172747130201</v>
      </c>
      <c r="Z260" s="651">
        <v>0.86775406257579402</v>
      </c>
      <c r="AA260" s="651">
        <v>0.921185539606592</v>
      </c>
      <c r="AB260" s="651">
        <v>0.92661324335723305</v>
      </c>
    </row>
    <row r="261" spans="1:28">
      <c r="A261" s="652"/>
      <c r="B261" s="1066"/>
      <c r="C261" s="653">
        <v>0.37035332810331301</v>
      </c>
      <c r="D261" s="653">
        <v>0.35373544143383001</v>
      </c>
      <c r="E261" s="653"/>
      <c r="F261" s="653">
        <v>0.13137408726087699</v>
      </c>
      <c r="G261" s="653">
        <v>7.4392010138193201E-2</v>
      </c>
      <c r="H261" s="653">
        <v>0.31951903928549902</v>
      </c>
      <c r="I261" s="653">
        <v>0.204966507754511</v>
      </c>
      <c r="J261" s="654">
        <v>0.16230915454709999</v>
      </c>
      <c r="K261" s="654">
        <v>0.124404079415847</v>
      </c>
      <c r="L261" s="654">
        <v>5.67557781666767E-2</v>
      </c>
      <c r="M261" s="654">
        <v>5.3655482469374197E-2</v>
      </c>
      <c r="N261" s="743"/>
      <c r="O261" s="623"/>
      <c r="P261" s="652"/>
      <c r="Q261" s="655"/>
      <c r="R261" s="653"/>
      <c r="S261" s="653"/>
      <c r="T261" s="653"/>
      <c r="U261" s="653"/>
      <c r="V261" s="653"/>
      <c r="W261" s="653"/>
      <c r="X261" s="653"/>
      <c r="Y261" s="656"/>
      <c r="Z261" s="657"/>
      <c r="AA261" s="657"/>
      <c r="AB261" s="657"/>
    </row>
    <row r="262" spans="1:28">
      <c r="A262" s="643" t="s">
        <v>56</v>
      </c>
      <c r="B262" s="1067">
        <v>282359</v>
      </c>
      <c r="C262" s="644">
        <v>67726</v>
      </c>
      <c r="D262" s="644">
        <v>66431</v>
      </c>
      <c r="E262" s="644">
        <v>26777</v>
      </c>
      <c r="F262" s="645" t="s">
        <v>68</v>
      </c>
      <c r="G262" s="644">
        <v>16733</v>
      </c>
      <c r="H262" s="644">
        <v>57618</v>
      </c>
      <c r="I262" s="644">
        <v>37949</v>
      </c>
      <c r="J262" s="646">
        <v>16096</v>
      </c>
      <c r="K262" s="647">
        <v>24658</v>
      </c>
      <c r="L262" s="647">
        <v>8976</v>
      </c>
      <c r="M262" s="647">
        <v>8477</v>
      </c>
      <c r="N262" s="646"/>
      <c r="O262" s="623"/>
      <c r="P262" s="643" t="s">
        <v>56</v>
      </c>
      <c r="Q262" s="651">
        <v>0.122803968278311</v>
      </c>
      <c r="R262" s="649">
        <v>0.43746862357145</v>
      </c>
      <c r="S262" s="649">
        <v>0.42994987280034902</v>
      </c>
      <c r="T262" s="649">
        <v>0.66318108824737598</v>
      </c>
      <c r="U262" s="645" t="s">
        <v>68</v>
      </c>
      <c r="V262" s="649">
        <v>0.66037172055220195</v>
      </c>
      <c r="W262" s="649">
        <v>0.43661702940053498</v>
      </c>
      <c r="X262" s="649">
        <v>0.55867084771667197</v>
      </c>
      <c r="Y262" s="650">
        <v>0.67047713717693802</v>
      </c>
      <c r="Z262" s="651">
        <v>0.68180712142104005</v>
      </c>
      <c r="AA262" s="651">
        <v>0.82776292335115897</v>
      </c>
      <c r="AB262" s="651">
        <v>0.83496519995281304</v>
      </c>
    </row>
    <row r="263" spans="1:28">
      <c r="A263" s="652"/>
      <c r="B263" s="1066"/>
      <c r="C263" s="653">
        <v>0.23985776971869099</v>
      </c>
      <c r="D263" s="653">
        <v>0.235271409800998</v>
      </c>
      <c r="E263" s="653">
        <v>9.4833173371488097E-2</v>
      </c>
      <c r="F263" s="653"/>
      <c r="G263" s="653">
        <v>5.9261436681671199E-2</v>
      </c>
      <c r="H263" s="653">
        <v>0.20405937122599199</v>
      </c>
      <c r="I263" s="653">
        <v>0.13439982433710301</v>
      </c>
      <c r="J263" s="654">
        <v>5.7005443424859803E-2</v>
      </c>
      <c r="K263" s="654">
        <v>8.7328542741686999E-2</v>
      </c>
      <c r="L263" s="654">
        <v>3.1789317854220997E-2</v>
      </c>
      <c r="M263" s="654">
        <v>3.0022064109874302E-2</v>
      </c>
      <c r="N263" s="743"/>
      <c r="O263" s="623"/>
      <c r="P263" s="652"/>
      <c r="Q263" s="655"/>
      <c r="R263" s="653"/>
      <c r="S263" s="653"/>
      <c r="T263" s="653"/>
      <c r="U263" s="653"/>
      <c r="V263" s="653"/>
      <c r="W263" s="653"/>
      <c r="X263" s="653"/>
      <c r="Y263" s="656"/>
      <c r="Z263" s="657"/>
      <c r="AA263" s="657"/>
      <c r="AB263" s="657"/>
    </row>
    <row r="264" spans="1:28">
      <c r="A264" s="643" t="s">
        <v>344</v>
      </c>
      <c r="B264" s="1067">
        <v>126988</v>
      </c>
      <c r="C264" s="644">
        <v>19318</v>
      </c>
      <c r="D264" s="644">
        <v>19078</v>
      </c>
      <c r="E264" s="644">
        <v>5865</v>
      </c>
      <c r="F264" s="644">
        <v>5124</v>
      </c>
      <c r="G264" s="645" t="s">
        <v>68</v>
      </c>
      <c r="H264" s="644">
        <v>17252</v>
      </c>
      <c r="I264" s="644">
        <v>7826</v>
      </c>
      <c r="J264" s="646">
        <v>2598</v>
      </c>
      <c r="K264" s="647">
        <v>2815</v>
      </c>
      <c r="L264" s="647">
        <v>2815</v>
      </c>
      <c r="M264" s="647">
        <v>2343</v>
      </c>
      <c r="N264" s="646"/>
      <c r="O264" s="623"/>
      <c r="P264" s="643" t="s">
        <v>344</v>
      </c>
      <c r="Q264" s="651">
        <v>8.5557487132290305E-2</v>
      </c>
      <c r="R264" s="649">
        <v>0.32410187389999001</v>
      </c>
      <c r="S264" s="649">
        <v>0.31963518188489398</v>
      </c>
      <c r="T264" s="649">
        <v>0.53231031543051999</v>
      </c>
      <c r="U264" s="649">
        <v>0.51795472287275601</v>
      </c>
      <c r="V264" s="645" t="s">
        <v>68</v>
      </c>
      <c r="W264" s="649">
        <v>0.30912357987479699</v>
      </c>
      <c r="X264" s="649">
        <v>0.50255558395093303</v>
      </c>
      <c r="Y264" s="650">
        <v>0.55350269438029298</v>
      </c>
      <c r="Z264" s="651">
        <v>0.62344582593250397</v>
      </c>
      <c r="AA264" s="651">
        <v>0.62344582593250397</v>
      </c>
      <c r="AB264" s="651">
        <v>0.68544600938967104</v>
      </c>
    </row>
    <row r="265" spans="1:28">
      <c r="A265" s="652"/>
      <c r="B265" s="1066"/>
      <c r="C265" s="653">
        <v>0.152124610199389</v>
      </c>
      <c r="D265" s="653">
        <v>0.15023466784263101</v>
      </c>
      <c r="E265" s="653">
        <v>4.6185466343276499E-2</v>
      </c>
      <c r="F265" s="653">
        <v>4.03502693167858E-2</v>
      </c>
      <c r="G265" s="653"/>
      <c r="H265" s="653">
        <v>0.13585535641162899</v>
      </c>
      <c r="I265" s="653">
        <v>6.1627870349954303E-2</v>
      </c>
      <c r="J265" s="654">
        <v>2.0458626011906601E-2</v>
      </c>
      <c r="K265" s="654">
        <v>2.2167448892808798E-2</v>
      </c>
      <c r="L265" s="654">
        <v>2.2167448892808798E-2</v>
      </c>
      <c r="M265" s="654">
        <v>1.8450562257851098E-2</v>
      </c>
      <c r="N265" s="743"/>
      <c r="O265" s="623"/>
      <c r="P265" s="652"/>
      <c r="Q265" s="655"/>
      <c r="R265" s="653"/>
      <c r="S265" s="653"/>
      <c r="T265" s="653"/>
      <c r="U265" s="653"/>
      <c r="V265" s="659"/>
      <c r="W265" s="653"/>
      <c r="X265" s="653"/>
      <c r="Y265" s="656"/>
      <c r="Z265" s="657"/>
      <c r="AA265" s="657"/>
      <c r="AB265" s="657"/>
    </row>
    <row r="266" spans="1:28">
      <c r="A266" s="643" t="s">
        <v>347</v>
      </c>
      <c r="B266" s="1067">
        <v>213093</v>
      </c>
      <c r="C266" s="644">
        <v>77308</v>
      </c>
      <c r="D266" s="644">
        <v>66751</v>
      </c>
      <c r="E266" s="644">
        <v>57188</v>
      </c>
      <c r="F266" s="644">
        <v>30690</v>
      </c>
      <c r="G266" s="644">
        <v>19932</v>
      </c>
      <c r="H266" s="658" t="s">
        <v>68</v>
      </c>
      <c r="I266" s="644">
        <v>40366</v>
      </c>
      <c r="J266" s="646">
        <v>47903</v>
      </c>
      <c r="K266" s="647">
        <v>27508</v>
      </c>
      <c r="L266" s="647">
        <v>14340</v>
      </c>
      <c r="M266" s="647">
        <v>13560</v>
      </c>
      <c r="N266" s="646"/>
      <c r="O266" s="623"/>
      <c r="P266" s="643" t="s">
        <v>347</v>
      </c>
      <c r="Q266" s="651">
        <v>0.238403339596197</v>
      </c>
      <c r="R266" s="649">
        <v>0.70497231851813502</v>
      </c>
      <c r="S266" s="649">
        <v>0.74640080298422495</v>
      </c>
      <c r="T266" s="649">
        <v>0.79201930474924798</v>
      </c>
      <c r="U266" s="649">
        <v>0.81893124796350603</v>
      </c>
      <c r="V266" s="649">
        <v>0.88827011840256898</v>
      </c>
      <c r="W266" s="658" t="s">
        <v>68</v>
      </c>
      <c r="X266" s="649">
        <v>0.77386909775553703</v>
      </c>
      <c r="Y266" s="650">
        <v>0.75258334551072004</v>
      </c>
      <c r="Z266" s="651">
        <v>0.86018612767195002</v>
      </c>
      <c r="AA266" s="651">
        <v>0.92691771269177103</v>
      </c>
      <c r="AB266" s="651">
        <v>0.93053097345132696</v>
      </c>
    </row>
    <row r="267" spans="1:28">
      <c r="A267" s="652"/>
      <c r="B267" s="1077"/>
      <c r="C267" s="653">
        <v>0.36278995555930998</v>
      </c>
      <c r="D267" s="653">
        <v>0.313248206182277</v>
      </c>
      <c r="E267" s="653">
        <v>0.26837108680247601</v>
      </c>
      <c r="F267" s="653">
        <v>0.14402162436119401</v>
      </c>
      <c r="G267" s="653">
        <v>9.3536624853937003E-2</v>
      </c>
      <c r="H267" s="653"/>
      <c r="I267" s="653">
        <v>0.18942902864007699</v>
      </c>
      <c r="J267" s="654">
        <v>0.22479856213015001</v>
      </c>
      <c r="K267" s="654">
        <v>0.12908917702599301</v>
      </c>
      <c r="L267" s="654">
        <v>6.7294561529473093E-2</v>
      </c>
      <c r="M267" s="654">
        <v>6.3634187889794594E-2</v>
      </c>
      <c r="N267" s="743"/>
      <c r="O267" s="623"/>
      <c r="P267" s="652"/>
      <c r="Q267" s="661"/>
      <c r="R267" s="653"/>
      <c r="S267" s="653"/>
      <c r="T267" s="653"/>
      <c r="U267" s="653"/>
      <c r="V267" s="653"/>
      <c r="W267" s="738"/>
      <c r="X267" s="653"/>
      <c r="Y267" s="656"/>
      <c r="Z267" s="657"/>
      <c r="AA267" s="657"/>
      <c r="AB267" s="657"/>
    </row>
    <row r="268" spans="1:28">
      <c r="A268" s="643" t="s">
        <v>122</v>
      </c>
      <c r="B268" s="1067">
        <v>228456</v>
      </c>
      <c r="C268" s="644">
        <v>11448</v>
      </c>
      <c r="D268" s="644">
        <v>11191</v>
      </c>
      <c r="E268" s="644">
        <v>4343</v>
      </c>
      <c r="F268" s="644">
        <v>2378</v>
      </c>
      <c r="G268" s="644">
        <v>1177</v>
      </c>
      <c r="H268" s="644">
        <v>10162</v>
      </c>
      <c r="I268" s="658" t="s">
        <v>68</v>
      </c>
      <c r="J268" s="646">
        <v>1745</v>
      </c>
      <c r="K268" s="647">
        <v>1507</v>
      </c>
      <c r="L268" s="647">
        <v>706</v>
      </c>
      <c r="M268" s="647">
        <v>706</v>
      </c>
      <c r="N268" s="646"/>
      <c r="O268" s="623"/>
      <c r="P268" s="643" t="s">
        <v>122</v>
      </c>
      <c r="Q268" s="651">
        <v>4.9763741038453199E-2</v>
      </c>
      <c r="R268" s="649">
        <v>0.45711041229909199</v>
      </c>
      <c r="S268" s="649">
        <v>0.45331069609507602</v>
      </c>
      <c r="T268" s="649">
        <v>0.84411696983651896</v>
      </c>
      <c r="U268" s="649">
        <v>0.69217830109335599</v>
      </c>
      <c r="V268" s="649">
        <v>0.84706881903143605</v>
      </c>
      <c r="W268" s="649">
        <v>0.43091911041133601</v>
      </c>
      <c r="X268" s="658" t="s">
        <v>68</v>
      </c>
      <c r="Y268" s="650">
        <v>0.81833810888252101</v>
      </c>
      <c r="Z268" s="651">
        <v>0.87392169873921699</v>
      </c>
      <c r="AA268" s="651">
        <v>0.91501416430594895</v>
      </c>
      <c r="AB268" s="651">
        <v>0.91501416430594895</v>
      </c>
    </row>
    <row r="269" spans="1:28">
      <c r="A269" s="662"/>
      <c r="B269" s="1078"/>
      <c r="C269" s="663">
        <v>5.01103057043807E-2</v>
      </c>
      <c r="D269" s="664">
        <v>4.8985362608117103E-2</v>
      </c>
      <c r="E269" s="664">
        <v>1.9010225163707699E-2</v>
      </c>
      <c r="F269" s="664">
        <v>1.04090065483069E-2</v>
      </c>
      <c r="G269" s="664">
        <v>5.1519767482578697E-3</v>
      </c>
      <c r="H269" s="664">
        <v>4.4481213012571297E-2</v>
      </c>
      <c r="I269" s="664"/>
      <c r="J269" s="665">
        <v>7.6382323073151898E-3</v>
      </c>
      <c r="K269" s="666">
        <v>6.5964562103862498E-3</v>
      </c>
      <c r="L269" s="666">
        <v>3.0903106068564598E-3</v>
      </c>
      <c r="M269" s="666">
        <v>3.0903106068564598E-3</v>
      </c>
      <c r="N269" s="743"/>
      <c r="O269" s="623"/>
      <c r="P269" s="662"/>
      <c r="Q269" s="667"/>
      <c r="R269" s="664"/>
      <c r="S269" s="664"/>
      <c r="T269" s="664"/>
      <c r="U269" s="664"/>
      <c r="V269" s="664"/>
      <c r="W269" s="664"/>
      <c r="X269" s="664"/>
      <c r="Y269" s="665"/>
      <c r="Z269" s="666"/>
      <c r="AA269" s="666"/>
      <c r="AB269" s="666"/>
    </row>
    <row r="270" spans="1:28">
      <c r="A270" s="668" t="s">
        <v>348</v>
      </c>
      <c r="B270" s="744">
        <v>983464</v>
      </c>
      <c r="C270" s="670">
        <v>224897</v>
      </c>
      <c r="D270" s="670">
        <v>210345</v>
      </c>
      <c r="E270" s="670">
        <v>94173</v>
      </c>
      <c r="F270" s="670">
        <v>55608</v>
      </c>
      <c r="G270" s="670">
        <v>47704</v>
      </c>
      <c r="H270" s="670">
        <v>127390</v>
      </c>
      <c r="I270" s="670">
        <v>113313</v>
      </c>
      <c r="J270" s="671">
        <v>89859</v>
      </c>
      <c r="K270" s="672">
        <v>72980</v>
      </c>
      <c r="L270" s="672">
        <v>34361</v>
      </c>
      <c r="M270" s="672">
        <v>32199</v>
      </c>
      <c r="N270" s="671"/>
      <c r="O270" s="623"/>
      <c r="P270" s="668" t="s">
        <v>348</v>
      </c>
      <c r="Q270" s="673">
        <v>0.16711211955831001</v>
      </c>
      <c r="R270" s="674">
        <v>0.58124385829957703</v>
      </c>
      <c r="S270" s="674">
        <v>0.58744443652095402</v>
      </c>
      <c r="T270" s="674">
        <v>0.741613838361314</v>
      </c>
      <c r="U270" s="674">
        <v>0.79725938713854105</v>
      </c>
      <c r="V270" s="674">
        <v>0.80907261445581102</v>
      </c>
      <c r="W270" s="674">
        <v>0.51971112332208202</v>
      </c>
      <c r="X270" s="674">
        <v>0.69166821106139598</v>
      </c>
      <c r="Y270" s="675">
        <v>0.75289063978009996</v>
      </c>
      <c r="Z270" s="673">
        <v>0.79277884351877204</v>
      </c>
      <c r="AA270" s="673">
        <v>0.87465440470300604</v>
      </c>
      <c r="AB270" s="673">
        <v>0.88633187366067301</v>
      </c>
    </row>
    <row r="271" spans="1:28">
      <c r="A271" s="676" t="s">
        <v>349</v>
      </c>
      <c r="B271" s="677"/>
      <c r="C271" s="682">
        <v>0.22867842645994199</v>
      </c>
      <c r="D271" s="682">
        <v>0.213881748594763</v>
      </c>
      <c r="E271" s="682">
        <v>9.5756428298341398E-2</v>
      </c>
      <c r="F271" s="682">
        <v>5.6542994964736901E-2</v>
      </c>
      <c r="G271" s="682">
        <v>4.85060968169653E-2</v>
      </c>
      <c r="H271" s="682">
        <v>0.129531940162528</v>
      </c>
      <c r="I271" s="682">
        <v>0.115218248964883</v>
      </c>
      <c r="J271" s="683">
        <v>9.1369892543092607E-2</v>
      </c>
      <c r="K271" s="684">
        <v>7.4207088414014105E-2</v>
      </c>
      <c r="L271" s="684">
        <v>3.4938747122416298E-2</v>
      </c>
      <c r="M271" s="684">
        <v>3.2740395174607299E-2</v>
      </c>
      <c r="N271" s="706"/>
      <c r="O271" s="623"/>
      <c r="P271" s="676" t="s">
        <v>349</v>
      </c>
      <c r="Q271" s="681"/>
      <c r="R271" s="682"/>
      <c r="S271" s="682"/>
      <c r="T271" s="682"/>
      <c r="U271" s="682"/>
      <c r="V271" s="682"/>
      <c r="W271" s="682"/>
      <c r="X271" s="682"/>
      <c r="Y271" s="683"/>
      <c r="Z271" s="684"/>
      <c r="AA271" s="684"/>
      <c r="AB271" s="684"/>
    </row>
    <row r="272" spans="1:28">
      <c r="A272" s="643" t="s">
        <v>51</v>
      </c>
      <c r="B272" s="1067">
        <v>90607</v>
      </c>
      <c r="C272" s="644">
        <v>15911</v>
      </c>
      <c r="D272" s="644">
        <v>15911</v>
      </c>
      <c r="E272" s="644">
        <v>4542</v>
      </c>
      <c r="F272" s="644">
        <v>2245</v>
      </c>
      <c r="G272" s="644">
        <v>1059</v>
      </c>
      <c r="H272" s="644">
        <v>14636</v>
      </c>
      <c r="I272" s="644">
        <v>2175</v>
      </c>
      <c r="J272" s="685" t="s">
        <v>68</v>
      </c>
      <c r="K272" s="686">
        <v>1452</v>
      </c>
      <c r="L272" s="686">
        <v>653</v>
      </c>
      <c r="M272" s="686">
        <v>505</v>
      </c>
      <c r="N272" s="646"/>
      <c r="O272" s="623"/>
      <c r="P272" s="643" t="s">
        <v>51</v>
      </c>
      <c r="Q272" s="651">
        <v>9.3511356358082498E-2</v>
      </c>
      <c r="R272" s="649">
        <v>0.26635660863553501</v>
      </c>
      <c r="S272" s="649">
        <v>0.26635660863553501</v>
      </c>
      <c r="T272" s="649">
        <v>0.67349185380889498</v>
      </c>
      <c r="U272" s="649">
        <v>0.48641425389755</v>
      </c>
      <c r="V272" s="649">
        <v>0.71576959395656303</v>
      </c>
      <c r="W272" s="649">
        <v>0.25567094834654303</v>
      </c>
      <c r="X272" s="649">
        <v>0.82574712643678205</v>
      </c>
      <c r="Y272" s="658" t="s">
        <v>68</v>
      </c>
      <c r="Z272" s="651">
        <v>0.673553719008264</v>
      </c>
      <c r="AA272" s="651">
        <v>0.83920367534456397</v>
      </c>
      <c r="AB272" s="651">
        <v>0.97029702970297005</v>
      </c>
    </row>
    <row r="273" spans="1:28">
      <c r="A273" s="687"/>
      <c r="B273" s="1064"/>
      <c r="C273" s="688">
        <v>0.175604533866037</v>
      </c>
      <c r="D273" s="688">
        <v>0.175604533866037</v>
      </c>
      <c r="E273" s="688">
        <v>5.0128577262242402E-2</v>
      </c>
      <c r="F273" s="688">
        <v>2.4777335084485701E-2</v>
      </c>
      <c r="G273" s="688">
        <v>1.1687838687960099E-2</v>
      </c>
      <c r="H273" s="688">
        <v>0.16153277340602801</v>
      </c>
      <c r="I273" s="688">
        <v>2.4004767843544099E-2</v>
      </c>
      <c r="J273" s="689"/>
      <c r="K273" s="690">
        <v>1.60252519121039E-2</v>
      </c>
      <c r="L273" s="690">
        <v>7.2069486904985302E-3</v>
      </c>
      <c r="M273" s="690">
        <v>5.5735208096504701E-3</v>
      </c>
      <c r="N273" s="743"/>
      <c r="O273" s="623"/>
      <c r="P273" s="687"/>
      <c r="Q273" s="642"/>
      <c r="R273" s="688"/>
      <c r="S273" s="688"/>
      <c r="T273" s="688"/>
      <c r="U273" s="688"/>
      <c r="V273" s="688"/>
      <c r="W273" s="688"/>
      <c r="X273" s="688"/>
      <c r="Y273" s="689"/>
      <c r="Z273" s="690"/>
      <c r="AA273" s="690"/>
      <c r="AB273" s="690"/>
    </row>
    <row r="274" spans="1:28">
      <c r="A274" s="668" t="s">
        <v>350</v>
      </c>
      <c r="B274" s="691">
        <v>1074071</v>
      </c>
      <c r="C274" s="692">
        <v>240808</v>
      </c>
      <c r="D274" s="693">
        <v>226256</v>
      </c>
      <c r="E274" s="693">
        <v>98715</v>
      </c>
      <c r="F274" s="693">
        <v>57853</v>
      </c>
      <c r="G274" s="693">
        <v>48763</v>
      </c>
      <c r="H274" s="693">
        <v>142026</v>
      </c>
      <c r="I274" s="693">
        <v>115488</v>
      </c>
      <c r="J274" s="694">
        <v>89859</v>
      </c>
      <c r="K274" s="695">
        <v>74432</v>
      </c>
      <c r="L274" s="695">
        <v>35014</v>
      </c>
      <c r="M274" s="695">
        <v>32704</v>
      </c>
      <c r="N274" s="745"/>
      <c r="O274" s="623"/>
      <c r="P274" s="668" t="s">
        <v>350</v>
      </c>
      <c r="Q274" s="696">
        <v>0.161921720549659</v>
      </c>
      <c r="R274" s="697">
        <v>0.56043819142221196</v>
      </c>
      <c r="S274" s="698">
        <v>0.56486457817693203</v>
      </c>
      <c r="T274" s="698">
        <v>0.73847946107481099</v>
      </c>
      <c r="U274" s="698">
        <v>0.78519696472093103</v>
      </c>
      <c r="V274" s="698">
        <v>0.80704632610791005</v>
      </c>
      <c r="W274" s="698">
        <v>0.49250137298804397</v>
      </c>
      <c r="X274" s="698">
        <v>0.69419333610418399</v>
      </c>
      <c r="Y274" s="699">
        <v>0.75289063978009996</v>
      </c>
      <c r="Z274" s="700">
        <v>0.79045303095442798</v>
      </c>
      <c r="AA274" s="700">
        <v>0.87399325983892195</v>
      </c>
      <c r="AB274" s="700">
        <v>0.887628424657534</v>
      </c>
    </row>
    <row r="275" spans="1:28" ht="15.75" thickBot="1">
      <c r="A275" s="701"/>
      <c r="B275" s="740"/>
      <c r="C275" s="703">
        <v>0.22420119340341599</v>
      </c>
      <c r="D275" s="703">
        <v>0.210652740833707</v>
      </c>
      <c r="E275" s="703">
        <v>9.19073320106399E-2</v>
      </c>
      <c r="F275" s="703">
        <v>5.3863292091491197E-2</v>
      </c>
      <c r="G275" s="703">
        <v>4.5400164421160197E-2</v>
      </c>
      <c r="H275" s="703">
        <v>0.132231481903896</v>
      </c>
      <c r="I275" s="703">
        <v>0.107523618084838</v>
      </c>
      <c r="J275" s="704">
        <v>8.3662067032812495E-2</v>
      </c>
      <c r="K275" s="705">
        <v>6.9298956959083696E-2</v>
      </c>
      <c r="L275" s="705">
        <v>3.2599334680854401E-2</v>
      </c>
      <c r="M275" s="705">
        <v>3.0448638870242298E-2</v>
      </c>
      <c r="N275" s="706"/>
      <c r="O275" s="623"/>
      <c r="P275" s="701"/>
      <c r="Q275" s="702"/>
      <c r="R275" s="703"/>
      <c r="S275" s="703"/>
      <c r="T275" s="703"/>
      <c r="U275" s="703"/>
      <c r="V275" s="703"/>
      <c r="W275" s="703"/>
      <c r="X275" s="703"/>
      <c r="Y275" s="704"/>
      <c r="Z275" s="705"/>
      <c r="AA275" s="705"/>
      <c r="AB275" s="705"/>
    </row>
    <row r="276" spans="1:28">
      <c r="A276" s="623"/>
      <c r="B276" s="964"/>
      <c r="C276" s="623"/>
      <c r="D276" s="623"/>
      <c r="E276" s="623"/>
      <c r="F276" s="623"/>
      <c r="G276" s="623"/>
      <c r="H276" s="965"/>
      <c r="I276" s="965"/>
      <c r="J276" s="965"/>
      <c r="K276" s="965"/>
      <c r="L276" s="965"/>
      <c r="M276" s="965"/>
      <c r="N276" s="739"/>
      <c r="O276" s="623"/>
      <c r="P276" s="623"/>
      <c r="Q276" s="623"/>
      <c r="R276" s="623"/>
      <c r="S276" s="623"/>
      <c r="T276" s="623"/>
      <c r="U276" s="623"/>
      <c r="V276" s="965"/>
      <c r="W276" s="965"/>
      <c r="X276" s="965"/>
      <c r="Y276" s="965"/>
      <c r="Z276" s="965"/>
      <c r="AA276" s="965"/>
      <c r="AB276" s="965"/>
    </row>
    <row r="277" spans="1:28">
      <c r="A277" s="623"/>
      <c r="B277" s="964"/>
      <c r="C277" s="623"/>
      <c r="D277" s="623"/>
      <c r="E277" s="623"/>
      <c r="F277" s="623"/>
      <c r="G277" s="965"/>
      <c r="H277" s="965"/>
      <c r="I277" s="965"/>
      <c r="J277" s="965"/>
      <c r="K277" s="965"/>
      <c r="L277" s="965"/>
      <c r="M277" s="965"/>
      <c r="N277" s="965"/>
      <c r="O277" s="623"/>
      <c r="P277" s="623" t="s">
        <v>355</v>
      </c>
      <c r="Q277" s="623" t="s">
        <v>356</v>
      </c>
      <c r="R277" s="623"/>
      <c r="S277" s="623"/>
      <c r="T277" s="623"/>
      <c r="U277" s="623"/>
      <c r="V277" s="965"/>
      <c r="W277" s="965"/>
      <c r="X277" s="965"/>
      <c r="Y277" s="965"/>
      <c r="Z277" s="965"/>
      <c r="AA277" s="965"/>
      <c r="AB277" s="965"/>
    </row>
    <row r="278" spans="1:28">
      <c r="A278" s="625" t="s">
        <v>324</v>
      </c>
      <c r="B278" s="626"/>
      <c r="C278" s="625">
        <v>2008</v>
      </c>
      <c r="D278" s="623"/>
      <c r="E278" s="623"/>
      <c r="F278" s="623"/>
      <c r="G278" s="623"/>
      <c r="H278" s="623"/>
      <c r="I278" s="623"/>
      <c r="J278" s="623"/>
      <c r="K278" s="623"/>
      <c r="L278" s="623"/>
      <c r="M278" s="623"/>
      <c r="N278" s="623"/>
      <c r="O278" s="623"/>
      <c r="P278" s="625" t="s">
        <v>324</v>
      </c>
      <c r="Q278" s="625"/>
      <c r="R278" s="625">
        <v>2008</v>
      </c>
      <c r="S278" s="623"/>
      <c r="T278" s="623"/>
      <c r="U278" s="623"/>
      <c r="V278" s="627"/>
      <c r="W278" s="627"/>
      <c r="X278" s="627"/>
      <c r="Y278" s="627"/>
      <c r="Z278" s="627"/>
      <c r="AA278" s="627"/>
      <c r="AB278" s="627"/>
    </row>
    <row r="279" spans="1:28" ht="15.75" thickBot="1">
      <c r="A279" s="623"/>
      <c r="B279" s="964"/>
      <c r="C279" s="623"/>
      <c r="D279" s="623"/>
      <c r="E279" s="623"/>
      <c r="F279" s="623"/>
      <c r="G279" s="627"/>
      <c r="H279" s="627"/>
      <c r="I279" s="627"/>
      <c r="J279" s="627"/>
      <c r="K279" s="627"/>
      <c r="L279" s="627"/>
      <c r="M279" s="627"/>
      <c r="N279" s="627"/>
      <c r="O279" s="623"/>
      <c r="P279" s="623"/>
      <c r="Q279" s="623"/>
      <c r="R279" s="623"/>
      <c r="S279" s="623"/>
      <c r="T279" s="623"/>
      <c r="U279" s="623"/>
      <c r="V279" s="627"/>
      <c r="W279" s="627"/>
      <c r="X279" s="627"/>
      <c r="Y279" s="627"/>
      <c r="Z279" s="627"/>
      <c r="AA279" s="627"/>
      <c r="AB279" s="627"/>
    </row>
    <row r="280" spans="1:28">
      <c r="A280" s="629" t="s">
        <v>325</v>
      </c>
      <c r="B280" s="630" t="s">
        <v>326</v>
      </c>
      <c r="C280" s="631"/>
      <c r="D280" s="631"/>
      <c r="E280" s="631" t="s">
        <v>327</v>
      </c>
      <c r="F280" s="631"/>
      <c r="G280" s="631"/>
      <c r="H280" s="631"/>
      <c r="I280" s="631"/>
      <c r="J280" s="631"/>
      <c r="K280" s="629" t="s">
        <v>328</v>
      </c>
      <c r="L280" s="629" t="s">
        <v>329</v>
      </c>
      <c r="M280" s="629" t="s">
        <v>330</v>
      </c>
      <c r="N280" s="741"/>
      <c r="O280" s="623"/>
      <c r="P280" s="629" t="s">
        <v>325</v>
      </c>
      <c r="Q280" s="632" t="s">
        <v>326</v>
      </c>
      <c r="R280" s="631"/>
      <c r="S280" s="631"/>
      <c r="T280" s="631" t="s">
        <v>331</v>
      </c>
      <c r="U280" s="631"/>
      <c r="V280" s="631"/>
      <c r="W280" s="631"/>
      <c r="X280" s="631"/>
      <c r="Y280" s="631"/>
      <c r="Z280" s="629" t="s">
        <v>328</v>
      </c>
      <c r="AA280" s="629" t="s">
        <v>329</v>
      </c>
      <c r="AB280" s="629" t="s">
        <v>330</v>
      </c>
    </row>
    <row r="281" spans="1:28">
      <c r="A281" s="633" t="s">
        <v>332</v>
      </c>
      <c r="B281" s="1063" t="s">
        <v>333</v>
      </c>
      <c r="C281" s="634"/>
      <c r="D281" s="634"/>
      <c r="E281" s="634" t="s">
        <v>334</v>
      </c>
      <c r="F281" s="634"/>
      <c r="G281" s="634"/>
      <c r="H281" s="634"/>
      <c r="I281" s="634"/>
      <c r="J281" s="634"/>
      <c r="K281" s="635" t="s">
        <v>335</v>
      </c>
      <c r="L281" s="635" t="s">
        <v>335</v>
      </c>
      <c r="M281" s="635" t="s">
        <v>335</v>
      </c>
      <c r="N281" s="741"/>
      <c r="O281" s="623"/>
      <c r="P281" s="633" t="s">
        <v>332</v>
      </c>
      <c r="Q281" s="636" t="s">
        <v>333</v>
      </c>
      <c r="R281" s="634"/>
      <c r="S281" s="634"/>
      <c r="T281" s="634" t="s">
        <v>336</v>
      </c>
      <c r="U281" s="634"/>
      <c r="V281" s="634"/>
      <c r="W281" s="634"/>
      <c r="X281" s="634"/>
      <c r="Y281" s="634"/>
      <c r="Z281" s="635" t="s">
        <v>335</v>
      </c>
      <c r="AA281" s="635" t="s">
        <v>335</v>
      </c>
      <c r="AB281" s="635" t="s">
        <v>335</v>
      </c>
    </row>
    <row r="282" spans="1:28">
      <c r="A282" s="633" t="s">
        <v>337</v>
      </c>
      <c r="B282" s="1063" t="s">
        <v>53</v>
      </c>
      <c r="C282" s="637" t="s">
        <v>338</v>
      </c>
      <c r="D282" s="637" t="s">
        <v>339</v>
      </c>
      <c r="E282" s="637"/>
      <c r="F282" s="637"/>
      <c r="G282" s="637"/>
      <c r="H282" s="637"/>
      <c r="I282" s="637"/>
      <c r="J282" s="638" t="s">
        <v>164</v>
      </c>
      <c r="K282" s="633" t="s">
        <v>340</v>
      </c>
      <c r="L282" s="633" t="s">
        <v>341</v>
      </c>
      <c r="M282" s="633" t="s">
        <v>341</v>
      </c>
      <c r="N282" s="742"/>
      <c r="O282" s="623"/>
      <c r="P282" s="633" t="s">
        <v>337</v>
      </c>
      <c r="Q282" s="636" t="s">
        <v>53</v>
      </c>
      <c r="R282" s="637" t="s">
        <v>338</v>
      </c>
      <c r="S282" s="637" t="s">
        <v>339</v>
      </c>
      <c r="T282" s="637"/>
      <c r="U282" s="637"/>
      <c r="V282" s="637"/>
      <c r="W282" s="637"/>
      <c r="X282" s="637"/>
      <c r="Y282" s="638" t="s">
        <v>164</v>
      </c>
      <c r="Z282" s="633" t="s">
        <v>340</v>
      </c>
      <c r="AA282" s="633" t="s">
        <v>341</v>
      </c>
      <c r="AB282" s="633" t="s">
        <v>341</v>
      </c>
    </row>
    <row r="283" spans="1:28">
      <c r="A283" s="639"/>
      <c r="B283" s="1064"/>
      <c r="C283" s="640" t="s">
        <v>342</v>
      </c>
      <c r="D283" s="640" t="s">
        <v>343</v>
      </c>
      <c r="E283" s="640" t="s">
        <v>127</v>
      </c>
      <c r="F283" s="640" t="s">
        <v>56</v>
      </c>
      <c r="G283" s="640" t="s">
        <v>344</v>
      </c>
      <c r="H283" s="640" t="s">
        <v>345</v>
      </c>
      <c r="I283" s="640" t="s">
        <v>122</v>
      </c>
      <c r="J283" s="634" t="s">
        <v>346</v>
      </c>
      <c r="K283" s="641" t="s">
        <v>361</v>
      </c>
      <c r="L283" s="641" t="s">
        <v>362</v>
      </c>
      <c r="M283" s="641" t="s">
        <v>363</v>
      </c>
      <c r="N283" s="741"/>
      <c r="O283" s="623"/>
      <c r="P283" s="639"/>
      <c r="Q283" s="642"/>
      <c r="R283" s="640" t="s">
        <v>342</v>
      </c>
      <c r="S283" s="640" t="s">
        <v>343</v>
      </c>
      <c r="T283" s="640" t="s">
        <v>127</v>
      </c>
      <c r="U283" s="640" t="s">
        <v>56</v>
      </c>
      <c r="V283" s="640" t="s">
        <v>344</v>
      </c>
      <c r="W283" s="640" t="s">
        <v>345</v>
      </c>
      <c r="X283" s="640" t="s">
        <v>122</v>
      </c>
      <c r="Y283" s="634" t="s">
        <v>346</v>
      </c>
      <c r="Z283" s="641" t="s">
        <v>361</v>
      </c>
      <c r="AA283" s="641" t="s">
        <v>362</v>
      </c>
      <c r="AB283" s="641" t="s">
        <v>363</v>
      </c>
    </row>
    <row r="284" spans="1:28">
      <c r="A284" s="643" t="s">
        <v>127</v>
      </c>
      <c r="B284" s="1065">
        <v>132401</v>
      </c>
      <c r="C284" s="644">
        <v>48635</v>
      </c>
      <c r="D284" s="644">
        <v>46771</v>
      </c>
      <c r="E284" s="645" t="s">
        <v>68</v>
      </c>
      <c r="F284" s="644">
        <v>17986</v>
      </c>
      <c r="G284" s="644">
        <v>9085</v>
      </c>
      <c r="H284" s="644">
        <v>42610</v>
      </c>
      <c r="I284" s="644">
        <v>25081</v>
      </c>
      <c r="J284" s="646">
        <v>20718</v>
      </c>
      <c r="K284" s="647">
        <v>16889</v>
      </c>
      <c r="L284" s="647">
        <v>7169</v>
      </c>
      <c r="M284" s="647">
        <v>6704</v>
      </c>
      <c r="N284" s="646"/>
      <c r="O284" s="623"/>
      <c r="P284" s="643" t="s">
        <v>127</v>
      </c>
      <c r="Q284" s="648">
        <v>0.35448768534285802</v>
      </c>
      <c r="R284" s="649">
        <v>0.71547239642232996</v>
      </c>
      <c r="S284" s="649">
        <v>0.72016848046866599</v>
      </c>
      <c r="T284" s="645" t="s">
        <v>68</v>
      </c>
      <c r="U284" s="649">
        <v>0.83870788390970796</v>
      </c>
      <c r="V284" s="649">
        <v>0.89201981287837095</v>
      </c>
      <c r="W284" s="649">
        <v>0.73414691386998399</v>
      </c>
      <c r="X284" s="649">
        <v>0.82313304892149397</v>
      </c>
      <c r="Y284" s="650">
        <v>0.84588280722077402</v>
      </c>
      <c r="Z284" s="651">
        <v>0.85517200544733296</v>
      </c>
      <c r="AA284" s="651">
        <v>0.91686427674710602</v>
      </c>
      <c r="AB284" s="651">
        <v>0.92332935560859197</v>
      </c>
    </row>
    <row r="285" spans="1:28">
      <c r="A285" s="652"/>
      <c r="B285" s="1066"/>
      <c r="C285" s="653">
        <v>0.36733106245421099</v>
      </c>
      <c r="D285" s="653">
        <v>0.35325261893792298</v>
      </c>
      <c r="E285" s="653"/>
      <c r="F285" s="653">
        <v>0.13584489543130299</v>
      </c>
      <c r="G285" s="653">
        <v>6.8617306515811799E-2</v>
      </c>
      <c r="H285" s="653">
        <v>0.32182536385676802</v>
      </c>
      <c r="I285" s="653">
        <v>0.18943210398713001</v>
      </c>
      <c r="J285" s="654">
        <v>0.15647918067084099</v>
      </c>
      <c r="K285" s="654">
        <v>0.127559459520698</v>
      </c>
      <c r="L285" s="654">
        <v>5.4146116721172803E-2</v>
      </c>
      <c r="M285" s="654">
        <v>5.06340586551461E-2</v>
      </c>
      <c r="N285" s="743"/>
      <c r="O285" s="623"/>
      <c r="P285" s="652"/>
      <c r="Q285" s="655"/>
      <c r="R285" s="653"/>
      <c r="S285" s="653"/>
      <c r="T285" s="653"/>
      <c r="U285" s="653"/>
      <c r="V285" s="653"/>
      <c r="W285" s="653"/>
      <c r="X285" s="653"/>
      <c r="Y285" s="656"/>
      <c r="Z285" s="657"/>
      <c r="AA285" s="657"/>
      <c r="AB285" s="657"/>
    </row>
    <row r="286" spans="1:28">
      <c r="A286" s="643" t="s">
        <v>56</v>
      </c>
      <c r="B286" s="1067">
        <v>317528</v>
      </c>
      <c r="C286" s="644">
        <v>70509</v>
      </c>
      <c r="D286" s="644">
        <v>69208</v>
      </c>
      <c r="E286" s="644">
        <v>26146</v>
      </c>
      <c r="F286" s="645" t="s">
        <v>68</v>
      </c>
      <c r="G286" s="644">
        <v>16640</v>
      </c>
      <c r="H286" s="644">
        <v>60981</v>
      </c>
      <c r="I286" s="644">
        <v>34894</v>
      </c>
      <c r="J286" s="646">
        <v>15724</v>
      </c>
      <c r="K286" s="647">
        <v>24043</v>
      </c>
      <c r="L286" s="647">
        <v>8467</v>
      </c>
      <c r="M286" s="647">
        <v>7794</v>
      </c>
      <c r="N286" s="646"/>
      <c r="O286" s="623"/>
      <c r="P286" s="643" t="s">
        <v>56</v>
      </c>
      <c r="Q286" s="651">
        <v>0.10290900300783599</v>
      </c>
      <c r="R286" s="649">
        <v>0.38524160036307398</v>
      </c>
      <c r="S286" s="649">
        <v>0.37771644896543799</v>
      </c>
      <c r="T286" s="649">
        <v>0.59152451617838298</v>
      </c>
      <c r="U286" s="645" t="s">
        <v>68</v>
      </c>
      <c r="V286" s="649">
        <v>0.62259615384615397</v>
      </c>
      <c r="W286" s="649">
        <v>0.38138108591200498</v>
      </c>
      <c r="X286" s="649">
        <v>0.54327391528629598</v>
      </c>
      <c r="Y286" s="650">
        <v>0.63285423556346998</v>
      </c>
      <c r="Z286" s="651">
        <v>0.60903381441583804</v>
      </c>
      <c r="AA286" s="651">
        <v>0.77796149757883504</v>
      </c>
      <c r="AB286" s="651">
        <v>0.800102643058763</v>
      </c>
    </row>
    <row r="287" spans="1:28">
      <c r="A287" s="652"/>
      <c r="B287" s="1066"/>
      <c r="C287" s="653">
        <v>0.222056007659167</v>
      </c>
      <c r="D287" s="653">
        <v>0.217958731198508</v>
      </c>
      <c r="E287" s="653">
        <v>8.2342344612128707E-2</v>
      </c>
      <c r="F287" s="653"/>
      <c r="G287" s="653">
        <v>5.2404827290821597E-2</v>
      </c>
      <c r="H287" s="653">
        <v>0.19204920510947099</v>
      </c>
      <c r="I287" s="653">
        <v>0.109892670882568</v>
      </c>
      <c r="J287" s="654">
        <v>4.9520042326975898E-2</v>
      </c>
      <c r="K287" s="654">
        <v>7.5719306643823495E-2</v>
      </c>
      <c r="L287" s="654">
        <v>2.6665364944193901E-2</v>
      </c>
      <c r="M287" s="654">
        <v>2.4545866821193699E-2</v>
      </c>
      <c r="N287" s="743"/>
      <c r="O287" s="623"/>
      <c r="P287" s="652"/>
      <c r="Q287" s="655"/>
      <c r="R287" s="653"/>
      <c r="S287" s="653"/>
      <c r="T287" s="653"/>
      <c r="U287" s="653"/>
      <c r="V287" s="653"/>
      <c r="W287" s="653"/>
      <c r="X287" s="653"/>
      <c r="Y287" s="656"/>
      <c r="Z287" s="657"/>
      <c r="AA287" s="657"/>
      <c r="AB287" s="657"/>
    </row>
    <row r="288" spans="1:28">
      <c r="A288" s="643" t="s">
        <v>344</v>
      </c>
      <c r="B288" s="1067">
        <v>126691</v>
      </c>
      <c r="C288" s="644">
        <v>18824</v>
      </c>
      <c r="D288" s="644">
        <v>18652</v>
      </c>
      <c r="E288" s="644">
        <v>5112</v>
      </c>
      <c r="F288" s="644">
        <v>5097</v>
      </c>
      <c r="G288" s="645" t="s">
        <v>68</v>
      </c>
      <c r="H288" s="644">
        <v>16868</v>
      </c>
      <c r="I288" s="644">
        <v>7055</v>
      </c>
      <c r="J288" s="646">
        <v>2601</v>
      </c>
      <c r="K288" s="647">
        <v>2523</v>
      </c>
      <c r="L288" s="647">
        <v>2523</v>
      </c>
      <c r="M288" s="647">
        <v>2057</v>
      </c>
      <c r="N288" s="646"/>
      <c r="O288" s="623"/>
      <c r="P288" s="643" t="s">
        <v>344</v>
      </c>
      <c r="Q288" s="651">
        <v>7.3528407538923798E-2</v>
      </c>
      <c r="R288" s="649">
        <v>0.29850191245218899</v>
      </c>
      <c r="S288" s="649">
        <v>0.295142612052327</v>
      </c>
      <c r="T288" s="649">
        <v>0.51604068857590002</v>
      </c>
      <c r="U288" s="649">
        <v>0.48773788503040999</v>
      </c>
      <c r="V288" s="645" t="s">
        <v>68</v>
      </c>
      <c r="W288" s="649">
        <v>0.28823808394593298</v>
      </c>
      <c r="X288" s="649">
        <v>0.46576895818568398</v>
      </c>
      <c r="Y288" s="650">
        <v>0.49942329873125701</v>
      </c>
      <c r="Z288" s="651">
        <v>0.62029330162505003</v>
      </c>
      <c r="AA288" s="651">
        <v>0.62029330162505003</v>
      </c>
      <c r="AB288" s="651">
        <v>0.66990763247447704</v>
      </c>
    </row>
    <row r="289" spans="1:28">
      <c r="A289" s="652"/>
      <c r="B289" s="1066"/>
      <c r="C289" s="653">
        <v>0.148581982934857</v>
      </c>
      <c r="D289" s="653">
        <v>0.147224349006638</v>
      </c>
      <c r="E289" s="653">
        <v>4.0350143261952298E-2</v>
      </c>
      <c r="F289" s="653">
        <v>4.0231744954258797E-2</v>
      </c>
      <c r="G289" s="653"/>
      <c r="H289" s="653">
        <v>0.13314284361162201</v>
      </c>
      <c r="I289" s="653">
        <v>5.5686670718519897E-2</v>
      </c>
      <c r="J289" s="654">
        <v>2.0530266554056702E-2</v>
      </c>
      <c r="K289" s="654">
        <v>1.99145953540504E-2</v>
      </c>
      <c r="L289" s="654">
        <v>1.99145953540504E-2</v>
      </c>
      <c r="M289" s="654">
        <v>1.6236354595038301E-2</v>
      </c>
      <c r="N289" s="743"/>
      <c r="O289" s="623"/>
      <c r="P289" s="652"/>
      <c r="Q289" s="655"/>
      <c r="R289" s="653"/>
      <c r="S289" s="653"/>
      <c r="T289" s="653"/>
      <c r="U289" s="653"/>
      <c r="V289" s="659"/>
      <c r="W289" s="653"/>
      <c r="X289" s="653"/>
      <c r="Y289" s="656"/>
      <c r="Z289" s="657"/>
      <c r="AA289" s="657"/>
      <c r="AB289" s="657"/>
    </row>
    <row r="290" spans="1:28">
      <c r="A290" s="643" t="s">
        <v>347</v>
      </c>
      <c r="B290" s="1067">
        <v>223045</v>
      </c>
      <c r="C290" s="644">
        <v>77292</v>
      </c>
      <c r="D290" s="644">
        <v>66396</v>
      </c>
      <c r="E290" s="644">
        <v>56457</v>
      </c>
      <c r="F290" s="644">
        <v>30865</v>
      </c>
      <c r="G290" s="644">
        <v>18770</v>
      </c>
      <c r="H290" s="658" t="s">
        <v>68</v>
      </c>
      <c r="I290" s="644">
        <v>38101</v>
      </c>
      <c r="J290" s="646">
        <v>47669</v>
      </c>
      <c r="K290" s="647">
        <v>27030</v>
      </c>
      <c r="L290" s="647">
        <v>13609</v>
      </c>
      <c r="M290" s="647">
        <v>12700</v>
      </c>
      <c r="N290" s="646"/>
      <c r="O290" s="623"/>
      <c r="P290" s="643" t="s">
        <v>347</v>
      </c>
      <c r="Q290" s="651">
        <v>0.23197072502297</v>
      </c>
      <c r="R290" s="649">
        <v>0.70748589763494296</v>
      </c>
      <c r="S290" s="649">
        <v>0.75234953912886304</v>
      </c>
      <c r="T290" s="649">
        <v>0.80016649839701004</v>
      </c>
      <c r="U290" s="649">
        <v>0.82783087639721398</v>
      </c>
      <c r="V290" s="649">
        <v>0.89877464038359101</v>
      </c>
      <c r="W290" s="658" t="s">
        <v>68</v>
      </c>
      <c r="X290" s="649">
        <v>0.78892942442455605</v>
      </c>
      <c r="Y290" s="650">
        <v>0.75604690679477204</v>
      </c>
      <c r="Z290" s="651">
        <v>0.87081021087680399</v>
      </c>
      <c r="AA290" s="651">
        <v>0.93849658314350803</v>
      </c>
      <c r="AB290" s="651">
        <v>0.94511811023622005</v>
      </c>
    </row>
    <row r="291" spans="1:28">
      <c r="A291" s="652"/>
      <c r="B291" s="1077"/>
      <c r="C291" s="653">
        <v>0.34653096908695602</v>
      </c>
      <c r="D291" s="653">
        <v>0.29767984039095302</v>
      </c>
      <c r="E291" s="653">
        <v>0.253119325696608</v>
      </c>
      <c r="F291" s="653">
        <v>0.13838014750386701</v>
      </c>
      <c r="G291" s="653">
        <v>8.4153421955210805E-2</v>
      </c>
      <c r="H291" s="653"/>
      <c r="I291" s="653">
        <v>0.170822031428635</v>
      </c>
      <c r="J291" s="654">
        <v>0.21371920464480301</v>
      </c>
      <c r="K291" s="654">
        <v>0.121186307695756</v>
      </c>
      <c r="L291" s="654">
        <v>6.1014593467685903E-2</v>
      </c>
      <c r="M291" s="654">
        <v>5.6939182676141599E-2</v>
      </c>
      <c r="N291" s="743"/>
      <c r="O291" s="623"/>
      <c r="P291" s="652"/>
      <c r="Q291" s="661"/>
      <c r="R291" s="653"/>
      <c r="S291" s="653"/>
      <c r="T291" s="653"/>
      <c r="U291" s="653"/>
      <c r="V291" s="653"/>
      <c r="W291" s="738"/>
      <c r="X291" s="653"/>
      <c r="Y291" s="656"/>
      <c r="Z291" s="657"/>
      <c r="AA291" s="657"/>
      <c r="AB291" s="657"/>
    </row>
    <row r="292" spans="1:28">
      <c r="A292" s="643" t="s">
        <v>122</v>
      </c>
      <c r="B292" s="1067">
        <v>194005</v>
      </c>
      <c r="C292" s="644">
        <v>9129</v>
      </c>
      <c r="D292" s="644">
        <v>8967</v>
      </c>
      <c r="E292" s="644">
        <v>2787</v>
      </c>
      <c r="F292" s="644">
        <v>1606</v>
      </c>
      <c r="G292" s="644">
        <v>809</v>
      </c>
      <c r="H292" s="644">
        <v>8194</v>
      </c>
      <c r="I292" s="658" t="s">
        <v>68</v>
      </c>
      <c r="J292" s="646">
        <v>1050</v>
      </c>
      <c r="K292" s="647">
        <v>901</v>
      </c>
      <c r="L292" s="647">
        <v>393</v>
      </c>
      <c r="M292" s="647">
        <v>393</v>
      </c>
      <c r="N292" s="646"/>
      <c r="O292" s="623"/>
      <c r="P292" s="643" t="s">
        <v>122</v>
      </c>
      <c r="Q292" s="651">
        <v>3.9611108967752197E-2</v>
      </c>
      <c r="R292" s="649">
        <v>0.37550662723189798</v>
      </c>
      <c r="S292" s="649">
        <v>0.37370357979257302</v>
      </c>
      <c r="T292" s="649">
        <v>0.78327951202009305</v>
      </c>
      <c r="U292" s="649">
        <v>0.61083437110834404</v>
      </c>
      <c r="V292" s="649">
        <v>0.77626699629171803</v>
      </c>
      <c r="W292" s="649">
        <v>0.34940200146448602</v>
      </c>
      <c r="X292" s="658" t="s">
        <v>68</v>
      </c>
      <c r="Y292" s="650">
        <v>0.79142857142857104</v>
      </c>
      <c r="Z292" s="651">
        <v>0.77025527192008902</v>
      </c>
      <c r="AA292" s="651">
        <v>0.79134860050890599</v>
      </c>
      <c r="AB292" s="651">
        <v>0.79134860050890599</v>
      </c>
    </row>
    <row r="293" spans="1:28">
      <c r="A293" s="662"/>
      <c r="B293" s="1078"/>
      <c r="C293" s="663">
        <v>4.7055488260611802E-2</v>
      </c>
      <c r="D293" s="664">
        <v>4.6220458235612501E-2</v>
      </c>
      <c r="E293" s="664">
        <v>1.43656091337852E-2</v>
      </c>
      <c r="F293" s="664">
        <v>8.2781371614133598E-3</v>
      </c>
      <c r="G293" s="664">
        <v>4.16999561866962E-3</v>
      </c>
      <c r="H293" s="664">
        <v>4.2236024844720499E-2</v>
      </c>
      <c r="I293" s="664"/>
      <c r="J293" s="665">
        <v>5.4122316435143399E-3</v>
      </c>
      <c r="K293" s="666">
        <v>4.6442102007680196E-3</v>
      </c>
      <c r="L293" s="666">
        <v>2.0257209865725098E-3</v>
      </c>
      <c r="M293" s="666">
        <v>2.0257209865725098E-3</v>
      </c>
      <c r="N293" s="743"/>
      <c r="O293" s="623"/>
      <c r="P293" s="662"/>
      <c r="Q293" s="667"/>
      <c r="R293" s="664"/>
      <c r="S293" s="664"/>
      <c r="T293" s="664"/>
      <c r="U293" s="664"/>
      <c r="V293" s="664"/>
      <c r="W293" s="664"/>
      <c r="X293" s="664"/>
      <c r="Y293" s="665"/>
      <c r="Z293" s="666"/>
      <c r="AA293" s="666"/>
      <c r="AB293" s="666"/>
    </row>
    <row r="294" spans="1:28">
      <c r="A294" s="668" t="s">
        <v>348</v>
      </c>
      <c r="B294" s="744">
        <v>993670</v>
      </c>
      <c r="C294" s="670">
        <v>224389</v>
      </c>
      <c r="D294" s="670">
        <v>209994</v>
      </c>
      <c r="E294" s="670">
        <v>90502</v>
      </c>
      <c r="F294" s="670">
        <v>55554</v>
      </c>
      <c r="G294" s="670">
        <v>45304</v>
      </c>
      <c r="H294" s="670">
        <v>128653</v>
      </c>
      <c r="I294" s="670">
        <v>105131</v>
      </c>
      <c r="J294" s="671">
        <v>87762</v>
      </c>
      <c r="K294" s="672">
        <v>71386</v>
      </c>
      <c r="L294" s="672">
        <v>32161</v>
      </c>
      <c r="M294" s="672">
        <v>29648</v>
      </c>
      <c r="N294" s="671"/>
      <c r="O294" s="623"/>
      <c r="P294" s="668" t="s">
        <v>348</v>
      </c>
      <c r="Q294" s="673">
        <v>0.160238434658246</v>
      </c>
      <c r="R294" s="674">
        <v>0.56014332253363597</v>
      </c>
      <c r="S294" s="674">
        <v>0.56493518862443703</v>
      </c>
      <c r="T294" s="674">
        <v>0.72332103157941297</v>
      </c>
      <c r="U294" s="674">
        <v>0.79387622853439899</v>
      </c>
      <c r="V294" s="674">
        <v>0.79379304255694905</v>
      </c>
      <c r="W294" s="674">
        <v>0.48396850442663603</v>
      </c>
      <c r="X294" s="674">
        <v>0.69386765083562396</v>
      </c>
      <c r="Y294" s="675">
        <v>0.74800027346687603</v>
      </c>
      <c r="Z294" s="673">
        <v>0.76882021684924196</v>
      </c>
      <c r="AA294" s="673">
        <v>0.86464973104070098</v>
      </c>
      <c r="AB294" s="673">
        <v>0.88093631948192097</v>
      </c>
    </row>
    <row r="295" spans="1:28">
      <c r="A295" s="676" t="s">
        <v>349</v>
      </c>
      <c r="B295" s="677"/>
      <c r="C295" s="682">
        <v>0.22581843066611701</v>
      </c>
      <c r="D295" s="682">
        <v>0.21133172984995</v>
      </c>
      <c r="E295" s="682">
        <v>9.1078527076393606E-2</v>
      </c>
      <c r="F295" s="682">
        <v>5.5907896987933602E-2</v>
      </c>
      <c r="G295" s="682">
        <v>4.5592601165376799E-2</v>
      </c>
      <c r="H295" s="682">
        <v>0.12947256131311199</v>
      </c>
      <c r="I295" s="682">
        <v>0.105800718548411</v>
      </c>
      <c r="J295" s="683">
        <v>8.8321072388217403E-2</v>
      </c>
      <c r="K295" s="684">
        <v>7.1840751959906204E-2</v>
      </c>
      <c r="L295" s="684">
        <v>3.2365875995048698E-2</v>
      </c>
      <c r="M295" s="684">
        <v>2.9836867370455E-2</v>
      </c>
      <c r="N295" s="706"/>
      <c r="O295" s="623"/>
      <c r="P295" s="676" t="s">
        <v>349</v>
      </c>
      <c r="Q295" s="681"/>
      <c r="R295" s="682"/>
      <c r="S295" s="682"/>
      <c r="T295" s="682"/>
      <c r="U295" s="682"/>
      <c r="V295" s="682"/>
      <c r="W295" s="682"/>
      <c r="X295" s="682"/>
      <c r="Y295" s="683"/>
      <c r="Z295" s="684"/>
      <c r="AA295" s="684"/>
      <c r="AB295" s="684"/>
    </row>
    <row r="296" spans="1:28">
      <c r="A296" s="643" t="s">
        <v>51</v>
      </c>
      <c r="B296" s="1067">
        <v>108544</v>
      </c>
      <c r="C296" s="644">
        <v>15949</v>
      </c>
      <c r="D296" s="644">
        <v>15949</v>
      </c>
      <c r="E296" s="644">
        <v>4164</v>
      </c>
      <c r="F296" s="644">
        <v>2240</v>
      </c>
      <c r="G296" s="644">
        <v>997</v>
      </c>
      <c r="H296" s="644">
        <v>14683</v>
      </c>
      <c r="I296" s="644">
        <v>1946</v>
      </c>
      <c r="J296" s="685" t="s">
        <v>68</v>
      </c>
      <c r="K296" s="686">
        <v>1315</v>
      </c>
      <c r="L296" s="686">
        <v>569</v>
      </c>
      <c r="M296" s="686">
        <v>419</v>
      </c>
      <c r="N296" s="646"/>
      <c r="O296" s="623"/>
      <c r="P296" s="643" t="s">
        <v>51</v>
      </c>
      <c r="Q296" s="651">
        <v>8.5112094016595294E-2</v>
      </c>
      <c r="R296" s="649">
        <v>0.25895040441407002</v>
      </c>
      <c r="S296" s="649">
        <v>0.25895040441407002</v>
      </c>
      <c r="T296" s="649">
        <v>0.68587896253602298</v>
      </c>
      <c r="U296" s="649">
        <v>0.48526785714285697</v>
      </c>
      <c r="V296" s="649">
        <v>0.69107321965897694</v>
      </c>
      <c r="W296" s="649">
        <v>0.24436423074303601</v>
      </c>
      <c r="X296" s="649">
        <v>0.84583761562178805</v>
      </c>
      <c r="Y296" s="658" t="s">
        <v>68</v>
      </c>
      <c r="Z296" s="651">
        <v>0.70418250950570305</v>
      </c>
      <c r="AA296" s="651">
        <v>0.85061511423550096</v>
      </c>
      <c r="AB296" s="651">
        <v>0.97136038186157503</v>
      </c>
    </row>
    <row r="297" spans="1:28">
      <c r="A297" s="687"/>
      <c r="B297" s="1064"/>
      <c r="C297" s="688">
        <v>0.14693580483490601</v>
      </c>
      <c r="D297" s="688">
        <v>0.14693580483490601</v>
      </c>
      <c r="E297" s="688">
        <v>3.8362323113207503E-2</v>
      </c>
      <c r="F297" s="688">
        <v>2.0636792452830201E-2</v>
      </c>
      <c r="G297" s="688">
        <v>9.1852152122641507E-3</v>
      </c>
      <c r="H297" s="688">
        <v>0.13527233195754701</v>
      </c>
      <c r="I297" s="688">
        <v>1.79282134433962E-2</v>
      </c>
      <c r="J297" s="689"/>
      <c r="K297" s="690">
        <v>1.2114902712264199E-2</v>
      </c>
      <c r="L297" s="690">
        <v>5.2421137971698098E-3</v>
      </c>
      <c r="M297" s="690">
        <v>3.8601857311320801E-3</v>
      </c>
      <c r="N297" s="743"/>
      <c r="O297" s="623"/>
      <c r="P297" s="687"/>
      <c r="Q297" s="642"/>
      <c r="R297" s="688"/>
      <c r="S297" s="688"/>
      <c r="T297" s="688"/>
      <c r="U297" s="688"/>
      <c r="V297" s="688"/>
      <c r="W297" s="688"/>
      <c r="X297" s="688"/>
      <c r="Y297" s="689"/>
      <c r="Z297" s="690"/>
      <c r="AA297" s="690"/>
      <c r="AB297" s="690"/>
    </row>
    <row r="298" spans="1:28">
      <c r="A298" s="668" t="s">
        <v>350</v>
      </c>
      <c r="B298" s="691">
        <v>1102214</v>
      </c>
      <c r="C298" s="692">
        <v>240338</v>
      </c>
      <c r="D298" s="693">
        <v>225943</v>
      </c>
      <c r="E298" s="693">
        <v>94666</v>
      </c>
      <c r="F298" s="693">
        <v>57794</v>
      </c>
      <c r="G298" s="693">
        <v>46301</v>
      </c>
      <c r="H298" s="693">
        <v>143336</v>
      </c>
      <c r="I298" s="693">
        <v>107077</v>
      </c>
      <c r="J298" s="694">
        <v>87762</v>
      </c>
      <c r="K298" s="695">
        <v>72701</v>
      </c>
      <c r="L298" s="695">
        <v>32730</v>
      </c>
      <c r="M298" s="695">
        <v>30067</v>
      </c>
      <c r="N298" s="745"/>
      <c r="O298" s="623"/>
      <c r="P298" s="668" t="s">
        <v>350</v>
      </c>
      <c r="Q298" s="696">
        <v>0.15474709837461201</v>
      </c>
      <c r="R298" s="697">
        <v>0.54015594704125003</v>
      </c>
      <c r="S298" s="698">
        <v>0.54333615115316702</v>
      </c>
      <c r="T298" s="698">
        <v>0.72167409629645296</v>
      </c>
      <c r="U298" s="698">
        <v>0.78191507768972601</v>
      </c>
      <c r="V298" s="698">
        <v>0.79158117535258399</v>
      </c>
      <c r="W298" s="698">
        <v>0.45942401071608002</v>
      </c>
      <c r="X298" s="698">
        <v>0.69662952828338498</v>
      </c>
      <c r="Y298" s="699">
        <v>0.74800027346687603</v>
      </c>
      <c r="Z298" s="700">
        <v>0.76765106394685101</v>
      </c>
      <c r="AA298" s="700">
        <v>0.86440574396578096</v>
      </c>
      <c r="AB298" s="700">
        <v>0.88219642797751696</v>
      </c>
    </row>
    <row r="299" spans="1:28" ht="15.75" thickBot="1">
      <c r="A299" s="701"/>
      <c r="B299" s="740"/>
      <c r="C299" s="703">
        <v>0.218050215293945</v>
      </c>
      <c r="D299" s="703">
        <v>0.204990138031272</v>
      </c>
      <c r="E299" s="703">
        <v>8.5887132625787704E-2</v>
      </c>
      <c r="F299" s="703">
        <v>5.2434463724830203E-2</v>
      </c>
      <c r="G299" s="703">
        <v>4.2007269005837303E-2</v>
      </c>
      <c r="H299" s="703">
        <v>0.130043712019626</v>
      </c>
      <c r="I299" s="703">
        <v>9.7147196460941304E-2</v>
      </c>
      <c r="J299" s="704">
        <v>7.9623376222766204E-2</v>
      </c>
      <c r="K299" s="705">
        <v>6.5959060581701895E-2</v>
      </c>
      <c r="L299" s="705">
        <v>2.96947779650776E-2</v>
      </c>
      <c r="M299" s="705">
        <v>2.7278731716345501E-2</v>
      </c>
      <c r="N299" s="706"/>
      <c r="O299" s="623"/>
      <c r="P299" s="701"/>
      <c r="Q299" s="702"/>
      <c r="R299" s="703"/>
      <c r="S299" s="703"/>
      <c r="T299" s="703"/>
      <c r="U299" s="703"/>
      <c r="V299" s="703"/>
      <c r="W299" s="703"/>
      <c r="X299" s="703"/>
      <c r="Y299" s="704"/>
      <c r="Z299" s="705"/>
      <c r="AA299" s="705"/>
      <c r="AB299" s="705"/>
    </row>
    <row r="300" spans="1:28">
      <c r="A300" s="623"/>
      <c r="B300" s="964"/>
      <c r="C300" s="623"/>
      <c r="D300" s="623"/>
      <c r="E300" s="623"/>
      <c r="F300" s="623"/>
      <c r="G300" s="623"/>
      <c r="H300" s="965"/>
      <c r="I300" s="965"/>
      <c r="J300" s="965"/>
      <c r="K300" s="965"/>
      <c r="L300" s="965"/>
      <c r="M300" s="965"/>
      <c r="N300" s="739"/>
      <c r="O300" s="623"/>
      <c r="P300" s="623"/>
      <c r="Q300" s="623"/>
      <c r="R300" s="623"/>
      <c r="S300" s="623"/>
      <c r="T300" s="623"/>
      <c r="U300" s="623"/>
      <c r="V300" s="965"/>
      <c r="W300" s="965"/>
      <c r="X300" s="965"/>
      <c r="Y300" s="965"/>
      <c r="Z300" s="965"/>
      <c r="AA300" s="965"/>
      <c r="AB300" s="965"/>
    </row>
    <row r="301" spans="1:28">
      <c r="A301" s="623"/>
      <c r="B301" s="964"/>
      <c r="C301" s="623"/>
      <c r="D301" s="623"/>
      <c r="E301" s="623"/>
      <c r="F301" s="623"/>
      <c r="G301" s="965"/>
      <c r="H301" s="965"/>
      <c r="I301" s="965"/>
      <c r="J301" s="965"/>
      <c r="K301" s="965"/>
      <c r="L301" s="965"/>
      <c r="M301" s="965"/>
      <c r="N301" s="965"/>
      <c r="O301" s="623"/>
      <c r="P301" s="623" t="s">
        <v>355</v>
      </c>
      <c r="Q301" s="623" t="s">
        <v>356</v>
      </c>
      <c r="R301" s="623"/>
      <c r="S301" s="623"/>
      <c r="T301" s="623"/>
      <c r="U301" s="623"/>
      <c r="V301" s="965"/>
      <c r="W301" s="965"/>
      <c r="X301" s="965"/>
      <c r="Y301" s="965"/>
      <c r="Z301" s="965"/>
      <c r="AA301" s="965"/>
      <c r="AB301" s="965"/>
    </row>
    <row r="302" spans="1:28">
      <c r="A302" s="625" t="s">
        <v>324</v>
      </c>
      <c r="B302" s="626"/>
      <c r="C302" s="625">
        <v>2007</v>
      </c>
      <c r="D302" s="623"/>
      <c r="E302" s="623"/>
      <c r="F302" s="623"/>
      <c r="G302" s="623"/>
      <c r="H302" s="623"/>
      <c r="I302" s="623"/>
      <c r="J302" s="623"/>
      <c r="K302" s="623"/>
      <c r="L302" s="623"/>
      <c r="M302" s="623"/>
      <c r="N302" s="623"/>
      <c r="O302" s="623"/>
      <c r="P302" s="625" t="s">
        <v>324</v>
      </c>
      <c r="Q302" s="625"/>
      <c r="R302" s="625">
        <v>2007</v>
      </c>
      <c r="S302" s="623"/>
      <c r="T302" s="623"/>
      <c r="U302" s="623"/>
      <c r="V302" s="627"/>
      <c r="W302" s="627"/>
      <c r="X302" s="627"/>
      <c r="Y302" s="627"/>
      <c r="Z302" s="627"/>
      <c r="AA302" s="627"/>
      <c r="AB302" s="627"/>
    </row>
    <row r="303" spans="1:28" ht="15.75" thickBot="1">
      <c r="A303" s="623"/>
      <c r="B303" s="964"/>
      <c r="C303" s="623"/>
      <c r="D303" s="623"/>
      <c r="E303" s="623"/>
      <c r="F303" s="623"/>
      <c r="G303" s="627"/>
      <c r="H303" s="627"/>
      <c r="I303" s="627"/>
      <c r="J303" s="627"/>
      <c r="K303" s="627"/>
      <c r="L303" s="627"/>
      <c r="M303" s="627"/>
      <c r="N303" s="627"/>
      <c r="O303" s="623"/>
      <c r="P303" s="623"/>
      <c r="Q303" s="623"/>
      <c r="R303" s="623"/>
      <c r="S303" s="623"/>
      <c r="T303" s="623"/>
      <c r="U303" s="623"/>
      <c r="V303" s="627"/>
      <c r="W303" s="627"/>
      <c r="X303" s="627"/>
      <c r="Y303" s="627"/>
      <c r="Z303" s="627"/>
      <c r="AA303" s="627"/>
      <c r="AB303" s="627"/>
    </row>
    <row r="304" spans="1:28">
      <c r="A304" s="629" t="s">
        <v>325</v>
      </c>
      <c r="B304" s="630" t="s">
        <v>326</v>
      </c>
      <c r="C304" s="631"/>
      <c r="D304" s="631"/>
      <c r="E304" s="631" t="s">
        <v>327</v>
      </c>
      <c r="F304" s="631"/>
      <c r="G304" s="631"/>
      <c r="H304" s="631"/>
      <c r="I304" s="631"/>
      <c r="J304" s="631"/>
      <c r="K304" s="629" t="s">
        <v>328</v>
      </c>
      <c r="L304" s="629" t="s">
        <v>329</v>
      </c>
      <c r="M304" s="629" t="s">
        <v>330</v>
      </c>
      <c r="N304" s="741"/>
      <c r="O304" s="623"/>
      <c r="P304" s="629" t="s">
        <v>325</v>
      </c>
      <c r="Q304" s="632" t="s">
        <v>326</v>
      </c>
      <c r="R304" s="631"/>
      <c r="S304" s="631"/>
      <c r="T304" s="631" t="s">
        <v>331</v>
      </c>
      <c r="U304" s="631"/>
      <c r="V304" s="631"/>
      <c r="W304" s="631"/>
      <c r="X304" s="631"/>
      <c r="Y304" s="631"/>
      <c r="Z304" s="629" t="s">
        <v>328</v>
      </c>
      <c r="AA304" s="629" t="s">
        <v>329</v>
      </c>
      <c r="AB304" s="629" t="s">
        <v>330</v>
      </c>
    </row>
    <row r="305" spans="1:28">
      <c r="A305" s="633" t="s">
        <v>332</v>
      </c>
      <c r="B305" s="1063" t="s">
        <v>333</v>
      </c>
      <c r="C305" s="634"/>
      <c r="D305" s="634"/>
      <c r="E305" s="634" t="s">
        <v>334</v>
      </c>
      <c r="F305" s="634"/>
      <c r="G305" s="634"/>
      <c r="H305" s="634"/>
      <c r="I305" s="634"/>
      <c r="J305" s="634"/>
      <c r="K305" s="635" t="s">
        <v>335</v>
      </c>
      <c r="L305" s="635" t="s">
        <v>335</v>
      </c>
      <c r="M305" s="635" t="s">
        <v>335</v>
      </c>
      <c r="N305" s="741"/>
      <c r="O305" s="623"/>
      <c r="P305" s="633" t="s">
        <v>332</v>
      </c>
      <c r="Q305" s="636" t="s">
        <v>333</v>
      </c>
      <c r="R305" s="634"/>
      <c r="S305" s="634"/>
      <c r="T305" s="634" t="s">
        <v>336</v>
      </c>
      <c r="U305" s="634"/>
      <c r="V305" s="634"/>
      <c r="W305" s="634"/>
      <c r="X305" s="634"/>
      <c r="Y305" s="634"/>
      <c r="Z305" s="635" t="s">
        <v>335</v>
      </c>
      <c r="AA305" s="635" t="s">
        <v>335</v>
      </c>
      <c r="AB305" s="635" t="s">
        <v>335</v>
      </c>
    </row>
    <row r="306" spans="1:28">
      <c r="A306" s="633" t="s">
        <v>337</v>
      </c>
      <c r="B306" s="1063" t="s">
        <v>53</v>
      </c>
      <c r="C306" s="637" t="s">
        <v>338</v>
      </c>
      <c r="D306" s="637" t="s">
        <v>339</v>
      </c>
      <c r="E306" s="637"/>
      <c r="F306" s="637"/>
      <c r="G306" s="637"/>
      <c r="H306" s="637"/>
      <c r="I306" s="637"/>
      <c r="J306" s="638" t="s">
        <v>164</v>
      </c>
      <c r="K306" s="633" t="s">
        <v>340</v>
      </c>
      <c r="L306" s="633" t="s">
        <v>341</v>
      </c>
      <c r="M306" s="633" t="s">
        <v>341</v>
      </c>
      <c r="N306" s="742"/>
      <c r="O306" s="623"/>
      <c r="P306" s="633" t="s">
        <v>337</v>
      </c>
      <c r="Q306" s="636" t="s">
        <v>53</v>
      </c>
      <c r="R306" s="637" t="s">
        <v>338</v>
      </c>
      <c r="S306" s="637" t="s">
        <v>339</v>
      </c>
      <c r="T306" s="637"/>
      <c r="U306" s="637"/>
      <c r="V306" s="637"/>
      <c r="W306" s="637"/>
      <c r="X306" s="637"/>
      <c r="Y306" s="638" t="s">
        <v>164</v>
      </c>
      <c r="Z306" s="633" t="s">
        <v>340</v>
      </c>
      <c r="AA306" s="633" t="s">
        <v>341</v>
      </c>
      <c r="AB306" s="633" t="s">
        <v>341</v>
      </c>
    </row>
    <row r="307" spans="1:28">
      <c r="A307" s="639"/>
      <c r="B307" s="1064"/>
      <c r="C307" s="640" t="s">
        <v>342</v>
      </c>
      <c r="D307" s="640" t="s">
        <v>343</v>
      </c>
      <c r="E307" s="640" t="s">
        <v>127</v>
      </c>
      <c r="F307" s="640" t="s">
        <v>56</v>
      </c>
      <c r="G307" s="640" t="s">
        <v>344</v>
      </c>
      <c r="H307" s="640" t="s">
        <v>345</v>
      </c>
      <c r="I307" s="640" t="s">
        <v>122</v>
      </c>
      <c r="J307" s="634" t="s">
        <v>346</v>
      </c>
      <c r="K307" s="641" t="s">
        <v>361</v>
      </c>
      <c r="L307" s="641" t="s">
        <v>362</v>
      </c>
      <c r="M307" s="641" t="s">
        <v>363</v>
      </c>
      <c r="N307" s="741"/>
      <c r="O307" s="623"/>
      <c r="P307" s="639"/>
      <c r="Q307" s="642"/>
      <c r="R307" s="640" t="s">
        <v>342</v>
      </c>
      <c r="S307" s="640" t="s">
        <v>343</v>
      </c>
      <c r="T307" s="640" t="s">
        <v>127</v>
      </c>
      <c r="U307" s="640" t="s">
        <v>56</v>
      </c>
      <c r="V307" s="640" t="s">
        <v>344</v>
      </c>
      <c r="W307" s="640" t="s">
        <v>345</v>
      </c>
      <c r="X307" s="640" t="s">
        <v>122</v>
      </c>
      <c r="Y307" s="634" t="s">
        <v>346</v>
      </c>
      <c r="Z307" s="641" t="s">
        <v>361</v>
      </c>
      <c r="AA307" s="641" t="s">
        <v>362</v>
      </c>
      <c r="AB307" s="641" t="s">
        <v>363</v>
      </c>
    </row>
    <row r="308" spans="1:28">
      <c r="A308" s="643" t="s">
        <v>127</v>
      </c>
      <c r="B308" s="1065">
        <v>131364</v>
      </c>
      <c r="C308" s="644">
        <v>49715</v>
      </c>
      <c r="D308" s="644">
        <v>47406</v>
      </c>
      <c r="E308" s="645" t="s">
        <v>68</v>
      </c>
      <c r="F308" s="644">
        <v>18637</v>
      </c>
      <c r="G308" s="644">
        <v>8522</v>
      </c>
      <c r="H308" s="644">
        <v>43451</v>
      </c>
      <c r="I308" s="644">
        <v>23384</v>
      </c>
      <c r="J308" s="646">
        <v>20901</v>
      </c>
      <c r="K308" s="647">
        <v>17495</v>
      </c>
      <c r="L308" s="647">
        <v>6735</v>
      </c>
      <c r="M308" s="647">
        <v>6085</v>
      </c>
      <c r="N308" s="646"/>
      <c r="O308" s="623"/>
      <c r="P308" s="643" t="s">
        <v>127</v>
      </c>
      <c r="Q308" s="648">
        <v>0.370183789042143</v>
      </c>
      <c r="R308" s="649">
        <v>0.69777733078547699</v>
      </c>
      <c r="S308" s="649">
        <v>0.70303337130321097</v>
      </c>
      <c r="T308" s="645" t="s">
        <v>68</v>
      </c>
      <c r="U308" s="649">
        <v>0.80882116220421696</v>
      </c>
      <c r="V308" s="649">
        <v>0.86892748181178103</v>
      </c>
      <c r="W308" s="649">
        <v>0.71312512945616902</v>
      </c>
      <c r="X308" s="649">
        <v>0.80349811837153595</v>
      </c>
      <c r="Y308" s="650">
        <v>0.817090091383187</v>
      </c>
      <c r="Z308" s="651">
        <v>0.82234924264075404</v>
      </c>
      <c r="AA308" s="651">
        <v>0.89888641425389804</v>
      </c>
      <c r="AB308" s="651">
        <v>0.90484798685291701</v>
      </c>
    </row>
    <row r="309" spans="1:28">
      <c r="A309" s="652"/>
      <c r="B309" s="1066"/>
      <c r="C309" s="653">
        <v>0.37845223957857599</v>
      </c>
      <c r="D309" s="653">
        <v>0.36087512560518897</v>
      </c>
      <c r="E309" s="653"/>
      <c r="F309" s="653">
        <v>0.141872963673457</v>
      </c>
      <c r="G309" s="653">
        <v>6.4873176821655901E-2</v>
      </c>
      <c r="H309" s="653">
        <v>0.33076794251088598</v>
      </c>
      <c r="I309" s="653">
        <v>0.17800919582229499</v>
      </c>
      <c r="J309" s="654">
        <v>0.159107518041473</v>
      </c>
      <c r="K309" s="654">
        <v>0.13317956213269999</v>
      </c>
      <c r="L309" s="654">
        <v>5.1269754270576402E-2</v>
      </c>
      <c r="M309" s="654">
        <v>4.6321671081879401E-2</v>
      </c>
      <c r="N309" s="743"/>
      <c r="O309" s="623"/>
      <c r="P309" s="652"/>
      <c r="Q309" s="655"/>
      <c r="R309" s="653"/>
      <c r="S309" s="653"/>
      <c r="T309" s="653"/>
      <c r="U309" s="653"/>
      <c r="V309" s="653"/>
      <c r="W309" s="653"/>
      <c r="X309" s="653"/>
      <c r="Y309" s="656"/>
      <c r="Z309" s="657"/>
      <c r="AA309" s="657"/>
      <c r="AB309" s="657"/>
    </row>
    <row r="310" spans="1:28">
      <c r="A310" s="643" t="s">
        <v>56</v>
      </c>
      <c r="B310" s="1067">
        <v>321375</v>
      </c>
      <c r="C310" s="644">
        <v>74495</v>
      </c>
      <c r="D310" s="644">
        <v>72885</v>
      </c>
      <c r="E310" s="644">
        <v>28510</v>
      </c>
      <c r="F310" s="645" t="s">
        <v>68</v>
      </c>
      <c r="G310" s="644">
        <v>18608</v>
      </c>
      <c r="H310" s="644">
        <v>65054</v>
      </c>
      <c r="I310" s="644">
        <v>36025</v>
      </c>
      <c r="J310" s="646">
        <v>17319</v>
      </c>
      <c r="K310" s="647">
        <v>26580</v>
      </c>
      <c r="L310" s="647">
        <v>9340</v>
      </c>
      <c r="M310" s="647">
        <v>8278</v>
      </c>
      <c r="N310" s="646"/>
      <c r="O310" s="623"/>
      <c r="P310" s="643" t="s">
        <v>56</v>
      </c>
      <c r="Q310" s="651">
        <v>0.102532509497666</v>
      </c>
      <c r="R310" s="649">
        <v>0.35805087589771101</v>
      </c>
      <c r="S310" s="649">
        <v>0.34819235782396901</v>
      </c>
      <c r="T310" s="649">
        <v>0.53679410733076105</v>
      </c>
      <c r="U310" s="645" t="s">
        <v>68</v>
      </c>
      <c r="V310" s="649">
        <v>0.53665090283748895</v>
      </c>
      <c r="W310" s="649">
        <v>0.35087773234543601</v>
      </c>
      <c r="X310" s="649">
        <v>0.47616932685634999</v>
      </c>
      <c r="Y310" s="650">
        <v>0.58900629366591595</v>
      </c>
      <c r="Z310" s="651">
        <v>0.54823175319789297</v>
      </c>
      <c r="AA310" s="651">
        <v>0.70139186295503197</v>
      </c>
      <c r="AB310" s="651">
        <v>0.72420874607393104</v>
      </c>
    </row>
    <row r="311" spans="1:28">
      <c r="A311" s="652"/>
      <c r="B311" s="1066"/>
      <c r="C311" s="653">
        <v>0.23180085569817199</v>
      </c>
      <c r="D311" s="653">
        <v>0.226791131855309</v>
      </c>
      <c r="E311" s="653">
        <v>8.8712563204978598E-2</v>
      </c>
      <c r="F311" s="653"/>
      <c r="G311" s="653">
        <v>5.7901205756515001E-2</v>
      </c>
      <c r="H311" s="653">
        <v>0.20242395954881401</v>
      </c>
      <c r="I311" s="653">
        <v>0.112096460521198</v>
      </c>
      <c r="J311" s="654">
        <v>5.38903150525087E-2</v>
      </c>
      <c r="K311" s="654">
        <v>8.2707117852975506E-2</v>
      </c>
      <c r="L311" s="654">
        <v>2.9062621548035801E-2</v>
      </c>
      <c r="M311" s="654">
        <v>2.5758070789575999E-2</v>
      </c>
      <c r="N311" s="743"/>
      <c r="O311" s="623"/>
      <c r="P311" s="652"/>
      <c r="Q311" s="655"/>
      <c r="R311" s="653"/>
      <c r="S311" s="653"/>
      <c r="T311" s="653"/>
      <c r="U311" s="653"/>
      <c r="V311" s="653"/>
      <c r="W311" s="653"/>
      <c r="X311" s="653"/>
      <c r="Y311" s="656"/>
      <c r="Z311" s="657"/>
      <c r="AA311" s="657"/>
      <c r="AB311" s="657"/>
    </row>
    <row r="312" spans="1:28">
      <c r="A312" s="643" t="s">
        <v>344</v>
      </c>
      <c r="B312" s="1067">
        <v>128438</v>
      </c>
      <c r="C312" s="644">
        <v>21101</v>
      </c>
      <c r="D312" s="644">
        <v>20904</v>
      </c>
      <c r="E312" s="644">
        <v>6290</v>
      </c>
      <c r="F312" s="644">
        <v>6054</v>
      </c>
      <c r="G312" s="645" t="s">
        <v>68</v>
      </c>
      <c r="H312" s="644">
        <v>19023</v>
      </c>
      <c r="I312" s="644">
        <v>8355</v>
      </c>
      <c r="J312" s="646">
        <v>3148</v>
      </c>
      <c r="K312" s="647">
        <v>3001</v>
      </c>
      <c r="L312" s="647">
        <v>3001</v>
      </c>
      <c r="M312" s="647">
        <v>2366</v>
      </c>
      <c r="N312" s="646"/>
      <c r="O312" s="623"/>
      <c r="P312" s="643" t="s">
        <v>344</v>
      </c>
      <c r="Q312" s="651">
        <v>7.6561555075594007E-2</v>
      </c>
      <c r="R312" s="649">
        <v>0.29012842993223098</v>
      </c>
      <c r="S312" s="649">
        <v>0.28669154228855698</v>
      </c>
      <c r="T312" s="649">
        <v>0.468839427662957</v>
      </c>
      <c r="U312" s="649">
        <v>0.44449950445986097</v>
      </c>
      <c r="V312" s="645" t="s">
        <v>68</v>
      </c>
      <c r="W312" s="649">
        <v>0.27966146244020401</v>
      </c>
      <c r="X312" s="649">
        <v>0.38874925194494298</v>
      </c>
      <c r="Y312" s="650">
        <v>0.46791613722998698</v>
      </c>
      <c r="Z312" s="651">
        <v>0.55614795068310596</v>
      </c>
      <c r="AA312" s="651">
        <v>0.55614795068310596</v>
      </c>
      <c r="AB312" s="651">
        <v>0.58326289095519901</v>
      </c>
    </row>
    <row r="313" spans="1:28">
      <c r="A313" s="652"/>
      <c r="B313" s="1066"/>
      <c r="C313" s="653">
        <v>0.164289384761519</v>
      </c>
      <c r="D313" s="653">
        <v>0.16275557078123301</v>
      </c>
      <c r="E313" s="653">
        <v>4.8973045360407398E-2</v>
      </c>
      <c r="F313" s="653">
        <v>4.7135582927171099E-2</v>
      </c>
      <c r="G313" s="653"/>
      <c r="H313" s="653">
        <v>0.14811037231971799</v>
      </c>
      <c r="I313" s="653">
        <v>6.5050841651224697E-2</v>
      </c>
      <c r="J313" s="654">
        <v>2.4509880253507501E-2</v>
      </c>
      <c r="K313" s="654">
        <v>2.33653591616188E-2</v>
      </c>
      <c r="L313" s="654">
        <v>2.33653591616188E-2</v>
      </c>
      <c r="M313" s="654">
        <v>1.84213394789704E-2</v>
      </c>
      <c r="N313" s="743"/>
      <c r="O313" s="623"/>
      <c r="P313" s="652"/>
      <c r="Q313" s="655"/>
      <c r="R313" s="653"/>
      <c r="S313" s="653"/>
      <c r="T313" s="653"/>
      <c r="U313" s="653"/>
      <c r="V313" s="659"/>
      <c r="W313" s="653"/>
      <c r="X313" s="653"/>
      <c r="Y313" s="656"/>
      <c r="Z313" s="657"/>
      <c r="AA313" s="657"/>
      <c r="AB313" s="657"/>
    </row>
    <row r="314" spans="1:28">
      <c r="A314" s="643" t="s">
        <v>347</v>
      </c>
      <c r="B314" s="1067">
        <v>234043</v>
      </c>
      <c r="C314" s="644">
        <v>79992</v>
      </c>
      <c r="D314" s="644">
        <v>67427</v>
      </c>
      <c r="E314" s="644">
        <v>57728</v>
      </c>
      <c r="F314" s="644">
        <v>31409</v>
      </c>
      <c r="G314" s="644">
        <v>17304</v>
      </c>
      <c r="H314" s="658" t="s">
        <v>68</v>
      </c>
      <c r="I314" s="644">
        <v>34923</v>
      </c>
      <c r="J314" s="646">
        <v>49427</v>
      </c>
      <c r="K314" s="647">
        <v>27345</v>
      </c>
      <c r="L314" s="647">
        <v>12502</v>
      </c>
      <c r="M314" s="647">
        <v>10916</v>
      </c>
      <c r="N314" s="646"/>
      <c r="O314" s="623"/>
      <c r="P314" s="643" t="s">
        <v>347</v>
      </c>
      <c r="Q314" s="651">
        <v>0.245328456305409</v>
      </c>
      <c r="R314" s="649">
        <v>0.70389538953895403</v>
      </c>
      <c r="S314" s="649">
        <v>0.74161685971495095</v>
      </c>
      <c r="T314" s="649">
        <v>0.79396480044345896</v>
      </c>
      <c r="U314" s="649">
        <v>0.80855805660797897</v>
      </c>
      <c r="V314" s="649">
        <v>0.86257512713823403</v>
      </c>
      <c r="W314" s="658" t="s">
        <v>68</v>
      </c>
      <c r="X314" s="649">
        <v>0.75740915728889302</v>
      </c>
      <c r="Y314" s="650">
        <v>0.74726364132963796</v>
      </c>
      <c r="Z314" s="651">
        <v>0.859389285061254</v>
      </c>
      <c r="AA314" s="651">
        <v>0.90889457686770103</v>
      </c>
      <c r="AB314" s="651">
        <v>0.91636130450714504</v>
      </c>
    </row>
    <row r="315" spans="1:28">
      <c r="A315" s="652"/>
      <c r="B315" s="1077"/>
      <c r="C315" s="653">
        <v>0.341783347504518</v>
      </c>
      <c r="D315" s="653">
        <v>0.28809663181552098</v>
      </c>
      <c r="E315" s="653">
        <v>0.24665552911217201</v>
      </c>
      <c r="F315" s="653">
        <v>0.134201834705588</v>
      </c>
      <c r="G315" s="653">
        <v>7.3935131578385202E-2</v>
      </c>
      <c r="H315" s="653"/>
      <c r="I315" s="653">
        <v>0.14921616967822199</v>
      </c>
      <c r="J315" s="654">
        <v>0.211187687732596</v>
      </c>
      <c r="K315" s="654">
        <v>0.11683750421931</v>
      </c>
      <c r="L315" s="654">
        <v>5.3417534384707102E-2</v>
      </c>
      <c r="M315" s="654">
        <v>4.6641001867178303E-2</v>
      </c>
      <c r="N315" s="743"/>
      <c r="O315" s="623"/>
      <c r="P315" s="652"/>
      <c r="Q315" s="661"/>
      <c r="R315" s="653"/>
      <c r="S315" s="653"/>
      <c r="T315" s="653"/>
      <c r="U315" s="653"/>
      <c r="V315" s="653"/>
      <c r="W315" s="738"/>
      <c r="X315" s="653"/>
      <c r="Y315" s="656"/>
      <c r="Z315" s="657"/>
      <c r="AA315" s="657"/>
      <c r="AB315" s="657"/>
    </row>
    <row r="316" spans="1:28">
      <c r="A316" s="643" t="s">
        <v>122</v>
      </c>
      <c r="B316" s="1067">
        <v>152299</v>
      </c>
      <c r="C316" s="644">
        <v>7794</v>
      </c>
      <c r="D316" s="644">
        <v>7585</v>
      </c>
      <c r="E316" s="644">
        <v>2536</v>
      </c>
      <c r="F316" s="644">
        <v>1407</v>
      </c>
      <c r="G316" s="644">
        <v>722</v>
      </c>
      <c r="H316" s="644">
        <v>6761</v>
      </c>
      <c r="I316" s="658" t="s">
        <v>68</v>
      </c>
      <c r="J316" s="646">
        <v>1023</v>
      </c>
      <c r="K316" s="647">
        <v>771</v>
      </c>
      <c r="L316" s="647">
        <v>367</v>
      </c>
      <c r="M316" s="647">
        <v>367</v>
      </c>
      <c r="N316" s="646"/>
      <c r="O316" s="623"/>
      <c r="P316" s="643" t="s">
        <v>122</v>
      </c>
      <c r="Q316" s="651">
        <v>4.7397711403380803E-2</v>
      </c>
      <c r="R316" s="649">
        <v>0.40056453682319698</v>
      </c>
      <c r="S316" s="649">
        <v>0.398945286750165</v>
      </c>
      <c r="T316" s="649">
        <v>0.76577287066246102</v>
      </c>
      <c r="U316" s="649">
        <v>0.62615493958777502</v>
      </c>
      <c r="V316" s="649">
        <v>0.77562326869806097</v>
      </c>
      <c r="W316" s="649">
        <v>0.374500813489129</v>
      </c>
      <c r="X316" s="658" t="s">
        <v>68</v>
      </c>
      <c r="Y316" s="650">
        <v>0.71652003910068396</v>
      </c>
      <c r="Z316" s="651">
        <v>0.79377431906614804</v>
      </c>
      <c r="AA316" s="651">
        <v>0.82561307901907399</v>
      </c>
      <c r="AB316" s="651">
        <v>0.82561307901907399</v>
      </c>
    </row>
    <row r="317" spans="1:28">
      <c r="A317" s="662"/>
      <c r="B317" s="1078"/>
      <c r="C317" s="663">
        <v>5.1175647903137902E-2</v>
      </c>
      <c r="D317" s="664">
        <v>4.9803347362753499E-2</v>
      </c>
      <c r="E317" s="664">
        <v>1.66514553608362E-2</v>
      </c>
      <c r="F317" s="664">
        <v>9.2384060302431407E-3</v>
      </c>
      <c r="G317" s="664">
        <v>4.7406745940551196E-3</v>
      </c>
      <c r="H317" s="664">
        <v>4.4392937576740503E-2</v>
      </c>
      <c r="I317" s="664"/>
      <c r="J317" s="665">
        <v>6.71705001346036E-3</v>
      </c>
      <c r="K317" s="666">
        <v>5.0624101274466702E-3</v>
      </c>
      <c r="L317" s="666">
        <v>2.4097334847897902E-3</v>
      </c>
      <c r="M317" s="666">
        <v>2.4097334847897902E-3</v>
      </c>
      <c r="N317" s="743"/>
      <c r="O317" s="623"/>
      <c r="P317" s="662"/>
      <c r="Q317" s="667"/>
      <c r="R317" s="664"/>
      <c r="S317" s="664"/>
      <c r="T317" s="664"/>
      <c r="U317" s="664"/>
      <c r="V317" s="664"/>
      <c r="W317" s="664"/>
      <c r="X317" s="664"/>
      <c r="Y317" s="665"/>
      <c r="Z317" s="666"/>
      <c r="AA317" s="666"/>
      <c r="AB317" s="666"/>
    </row>
    <row r="318" spans="1:28">
      <c r="A318" s="668" t="s">
        <v>348</v>
      </c>
      <c r="B318" s="744">
        <v>967519</v>
      </c>
      <c r="C318" s="670">
        <v>233097</v>
      </c>
      <c r="D318" s="670">
        <v>216207</v>
      </c>
      <c r="E318" s="670">
        <v>95064</v>
      </c>
      <c r="F318" s="670">
        <v>57507</v>
      </c>
      <c r="G318" s="670">
        <v>45156</v>
      </c>
      <c r="H318" s="670">
        <v>134289</v>
      </c>
      <c r="I318" s="670">
        <v>102687</v>
      </c>
      <c r="J318" s="671">
        <v>91818</v>
      </c>
      <c r="K318" s="672">
        <v>75192</v>
      </c>
      <c r="L318" s="672">
        <v>31945</v>
      </c>
      <c r="M318" s="672">
        <v>28012</v>
      </c>
      <c r="N318" s="671"/>
      <c r="O318" s="623"/>
      <c r="P318" s="668" t="s">
        <v>348</v>
      </c>
      <c r="Q318" s="673">
        <v>0.172671238088796</v>
      </c>
      <c r="R318" s="674">
        <v>0.54446432172014203</v>
      </c>
      <c r="S318" s="674">
        <v>0.54452446035512303</v>
      </c>
      <c r="T318" s="674">
        <v>0.694574181603972</v>
      </c>
      <c r="U318" s="674">
        <v>0.76585459161493397</v>
      </c>
      <c r="V318" s="674">
        <v>0.72807600318894505</v>
      </c>
      <c r="W318" s="674">
        <v>0.45918876453023</v>
      </c>
      <c r="X318" s="674">
        <v>0.63924352644443805</v>
      </c>
      <c r="Y318" s="675">
        <v>0.72338757106449703</v>
      </c>
      <c r="Z318" s="673">
        <v>0.72800297904032296</v>
      </c>
      <c r="AA318" s="673">
        <v>0.81202066051025201</v>
      </c>
      <c r="AB318" s="673">
        <v>0.82775239183207205</v>
      </c>
    </row>
    <row r="319" spans="1:28">
      <c r="A319" s="676" t="s">
        <v>349</v>
      </c>
      <c r="B319" s="677"/>
      <c r="C319" s="682">
        <v>0.24092240049032601</v>
      </c>
      <c r="D319" s="682">
        <v>0.22346537897447</v>
      </c>
      <c r="E319" s="682">
        <v>9.8255434776991502E-2</v>
      </c>
      <c r="F319" s="682">
        <v>5.9437592440045102E-2</v>
      </c>
      <c r="G319" s="682">
        <v>4.6671951661931201E-2</v>
      </c>
      <c r="H319" s="682">
        <v>0.13879727426541499</v>
      </c>
      <c r="I319" s="682">
        <v>0.106134349816386</v>
      </c>
      <c r="J319" s="683">
        <v>9.4900461903073705E-2</v>
      </c>
      <c r="K319" s="684">
        <v>7.77163032457244E-2</v>
      </c>
      <c r="L319" s="684">
        <v>3.3017439450801503E-2</v>
      </c>
      <c r="M319" s="684">
        <v>2.8952403001904901E-2</v>
      </c>
      <c r="N319" s="706"/>
      <c r="O319" s="623"/>
      <c r="P319" s="676" t="s">
        <v>349</v>
      </c>
      <c r="Q319" s="681"/>
      <c r="R319" s="682"/>
      <c r="S319" s="682"/>
      <c r="T319" s="682"/>
      <c r="U319" s="682"/>
      <c r="V319" s="682"/>
      <c r="W319" s="682"/>
      <c r="X319" s="682"/>
      <c r="Y319" s="683"/>
      <c r="Z319" s="684"/>
      <c r="AA319" s="684"/>
      <c r="AB319" s="684"/>
    </row>
    <row r="320" spans="1:28">
      <c r="A320" s="643" t="s">
        <v>51</v>
      </c>
      <c r="B320" s="1067">
        <v>54347</v>
      </c>
      <c r="C320" s="644">
        <v>15231</v>
      </c>
      <c r="D320" s="644">
        <v>15231</v>
      </c>
      <c r="E320" s="644">
        <v>3992</v>
      </c>
      <c r="F320" s="644">
        <v>2312</v>
      </c>
      <c r="G320" s="644">
        <v>981</v>
      </c>
      <c r="H320" s="644">
        <v>13987</v>
      </c>
      <c r="I320" s="644">
        <v>1752</v>
      </c>
      <c r="J320" s="685" t="s">
        <v>68</v>
      </c>
      <c r="K320" s="686">
        <v>1283</v>
      </c>
      <c r="L320" s="686">
        <v>518</v>
      </c>
      <c r="M320" s="686">
        <v>363</v>
      </c>
      <c r="N320" s="646"/>
      <c r="O320" s="623"/>
      <c r="P320" s="643" t="s">
        <v>51</v>
      </c>
      <c r="Q320" s="651">
        <v>8.9830687458199901E-2</v>
      </c>
      <c r="R320" s="649">
        <v>0.26958177401352501</v>
      </c>
      <c r="S320" s="649">
        <v>0.26958177401352501</v>
      </c>
      <c r="T320" s="649">
        <v>0.68061122244489003</v>
      </c>
      <c r="U320" s="649">
        <v>0.45891003460207602</v>
      </c>
      <c r="V320" s="649">
        <v>0.64831804281345595</v>
      </c>
      <c r="W320" s="649">
        <v>0.25866876385214799</v>
      </c>
      <c r="X320" s="649">
        <v>0.84189497716895001</v>
      </c>
      <c r="Y320" s="658" t="s">
        <v>68</v>
      </c>
      <c r="Z320" s="651">
        <v>0.696024941543258</v>
      </c>
      <c r="AA320" s="651">
        <v>0.82625482625482605</v>
      </c>
      <c r="AB320" s="651">
        <v>0.96418732782369099</v>
      </c>
    </row>
    <row r="321" spans="1:28">
      <c r="A321" s="687"/>
      <c r="B321" s="1064"/>
      <c r="C321" s="688">
        <v>0.28025465987082998</v>
      </c>
      <c r="D321" s="688">
        <v>0.28025465987082998</v>
      </c>
      <c r="E321" s="688">
        <v>7.34539164995308E-2</v>
      </c>
      <c r="F321" s="688">
        <v>4.2541446629988801E-2</v>
      </c>
      <c r="G321" s="688">
        <v>1.8050674370250399E-2</v>
      </c>
      <c r="H321" s="688">
        <v>0.25736471194362198</v>
      </c>
      <c r="I321" s="688">
        <v>3.2237290006808098E-2</v>
      </c>
      <c r="J321" s="689"/>
      <c r="K321" s="690">
        <v>2.36075588348943E-2</v>
      </c>
      <c r="L321" s="690">
        <v>9.5313448764421192E-3</v>
      </c>
      <c r="M321" s="690">
        <v>6.6793015253831904E-3</v>
      </c>
      <c r="N321" s="743"/>
      <c r="O321" s="623"/>
      <c r="P321" s="687"/>
      <c r="Q321" s="642"/>
      <c r="R321" s="688"/>
      <c r="S321" s="688"/>
      <c r="T321" s="688"/>
      <c r="U321" s="688"/>
      <c r="V321" s="688"/>
      <c r="W321" s="688"/>
      <c r="X321" s="688"/>
      <c r="Y321" s="689"/>
      <c r="Z321" s="690"/>
      <c r="AA321" s="690"/>
      <c r="AB321" s="690"/>
    </row>
    <row r="322" spans="1:28">
      <c r="A322" s="668" t="s">
        <v>350</v>
      </c>
      <c r="B322" s="691">
        <v>1021866</v>
      </c>
      <c r="C322" s="692">
        <v>248328</v>
      </c>
      <c r="D322" s="693">
        <v>231438</v>
      </c>
      <c r="E322" s="693">
        <v>99056</v>
      </c>
      <c r="F322" s="693">
        <v>59819</v>
      </c>
      <c r="G322" s="693">
        <v>46137</v>
      </c>
      <c r="H322" s="693">
        <v>148276</v>
      </c>
      <c r="I322" s="693">
        <v>104439</v>
      </c>
      <c r="J322" s="694">
        <v>91818</v>
      </c>
      <c r="K322" s="695">
        <v>76475</v>
      </c>
      <c r="L322" s="695">
        <v>32463</v>
      </c>
      <c r="M322" s="695">
        <v>28375</v>
      </c>
      <c r="N322" s="745"/>
      <c r="O322" s="623"/>
      <c r="P322" s="668" t="s">
        <v>350</v>
      </c>
      <c r="Q322" s="696">
        <v>0.166530105265355</v>
      </c>
      <c r="R322" s="697">
        <v>0.52760461969653005</v>
      </c>
      <c r="S322" s="698">
        <v>0.52643040468721602</v>
      </c>
      <c r="T322" s="698">
        <v>0.69401146826037796</v>
      </c>
      <c r="U322" s="698">
        <v>0.753991206807202</v>
      </c>
      <c r="V322" s="698">
        <v>0.72638012874699298</v>
      </c>
      <c r="W322" s="698">
        <v>0.44027354393158702</v>
      </c>
      <c r="X322" s="698">
        <v>0.642643073947472</v>
      </c>
      <c r="Y322" s="699">
        <v>0.72338757106449703</v>
      </c>
      <c r="Z322" s="700">
        <v>0.72746649231775096</v>
      </c>
      <c r="AA322" s="700">
        <v>0.81224778979145495</v>
      </c>
      <c r="AB322" s="700">
        <v>0.82949779735682805</v>
      </c>
    </row>
    <row r="323" spans="1:28" ht="15.75" thickBot="1">
      <c r="A323" s="701"/>
      <c r="B323" s="740"/>
      <c r="C323" s="703">
        <v>0.24301425040073699</v>
      </c>
      <c r="D323" s="703">
        <v>0.22648566446089799</v>
      </c>
      <c r="E323" s="703">
        <v>9.6936388919877894E-2</v>
      </c>
      <c r="F323" s="703">
        <v>5.85389865207376E-2</v>
      </c>
      <c r="G323" s="703">
        <v>4.5149755447387398E-2</v>
      </c>
      <c r="H323" s="703">
        <v>0.14510317399737299</v>
      </c>
      <c r="I323" s="703">
        <v>0.10220420289940201</v>
      </c>
      <c r="J323" s="704">
        <v>8.9853268432455904E-2</v>
      </c>
      <c r="K323" s="705">
        <v>7.4838579618071194E-2</v>
      </c>
      <c r="L323" s="705">
        <v>3.1768353189165703E-2</v>
      </c>
      <c r="M323" s="705">
        <v>2.77678286585521E-2</v>
      </c>
      <c r="N323" s="706"/>
      <c r="O323" s="623"/>
      <c r="P323" s="701"/>
      <c r="Q323" s="702"/>
      <c r="R323" s="703"/>
      <c r="S323" s="703"/>
      <c r="T323" s="703"/>
      <c r="U323" s="703"/>
      <c r="V323" s="703"/>
      <c r="W323" s="703"/>
      <c r="X323" s="703"/>
      <c r="Y323" s="704"/>
      <c r="Z323" s="705"/>
      <c r="AA323" s="705"/>
      <c r="AB323" s="705"/>
    </row>
    <row r="324" spans="1:28">
      <c r="A324" s="623"/>
      <c r="B324" s="623"/>
      <c r="C324" s="623"/>
      <c r="D324" s="623"/>
      <c r="E324" s="623"/>
      <c r="F324" s="623"/>
      <c r="G324" s="623"/>
      <c r="H324" s="965"/>
      <c r="I324" s="965"/>
      <c r="J324" s="965"/>
      <c r="K324" s="965"/>
      <c r="L324" s="965"/>
      <c r="M324" s="965"/>
      <c r="N324" s="739"/>
      <c r="O324" s="623"/>
      <c r="P324" s="623"/>
      <c r="Q324" s="623"/>
      <c r="R324" s="623"/>
      <c r="S324" s="623"/>
      <c r="T324" s="623"/>
      <c r="U324" s="623"/>
      <c r="V324" s="965"/>
      <c r="W324" s="965"/>
      <c r="X324" s="965"/>
      <c r="Y324" s="965"/>
      <c r="Z324" s="965"/>
      <c r="AA324" s="965"/>
      <c r="AB324" s="965"/>
    </row>
    <row r="325" spans="1:28">
      <c r="A325" s="623"/>
      <c r="B325" s="623"/>
      <c r="C325" s="623"/>
      <c r="D325" s="623"/>
      <c r="E325" s="623"/>
      <c r="F325" s="623"/>
      <c r="G325" s="965"/>
      <c r="H325" s="965"/>
      <c r="I325" s="965"/>
      <c r="J325" s="965"/>
      <c r="K325" s="965"/>
      <c r="L325" s="965"/>
      <c r="M325" s="965"/>
      <c r="N325" s="965"/>
      <c r="O325" s="623"/>
      <c r="P325" s="623" t="s">
        <v>355</v>
      </c>
      <c r="Q325" s="623" t="s">
        <v>356</v>
      </c>
      <c r="R325" s="623"/>
      <c r="S325" s="623"/>
      <c r="T325" s="623"/>
      <c r="U325" s="623"/>
      <c r="V325" s="965"/>
      <c r="W325" s="965"/>
      <c r="X325" s="965"/>
      <c r="Y325" s="965"/>
      <c r="Z325" s="965"/>
      <c r="AA325" s="965"/>
      <c r="AB325" s="965"/>
    </row>
    <row r="326" spans="1:28">
      <c r="A326" s="625" t="s">
        <v>324</v>
      </c>
      <c r="B326" s="626"/>
      <c r="C326" s="625">
        <v>2006</v>
      </c>
      <c r="D326" s="623"/>
      <c r="E326" s="623"/>
      <c r="F326" s="623"/>
      <c r="G326" s="623"/>
      <c r="H326" s="623"/>
      <c r="I326" s="623"/>
      <c r="J326" s="623"/>
      <c r="K326" s="623"/>
      <c r="L326" s="623"/>
      <c r="M326" s="623"/>
      <c r="N326" s="623"/>
      <c r="O326" s="623"/>
      <c r="P326" s="625" t="s">
        <v>324</v>
      </c>
      <c r="Q326" s="625"/>
      <c r="R326" s="625">
        <v>2006</v>
      </c>
      <c r="S326" s="623"/>
      <c r="T326" s="623"/>
      <c r="U326" s="623"/>
      <c r="V326" s="627"/>
      <c r="W326" s="627"/>
      <c r="X326" s="627"/>
      <c r="Y326" s="627"/>
      <c r="Z326" s="627"/>
      <c r="AA326" s="627"/>
      <c r="AB326" s="627"/>
    </row>
    <row r="327" spans="1:28" ht="15.75" thickBot="1">
      <c r="A327" s="623"/>
      <c r="B327" s="964"/>
      <c r="C327" s="623"/>
      <c r="D327" s="623"/>
      <c r="E327" s="623"/>
      <c r="F327" s="623"/>
      <c r="G327" s="627"/>
      <c r="H327" s="627"/>
      <c r="I327" s="627"/>
      <c r="J327" s="627"/>
      <c r="K327" s="627"/>
      <c r="L327" s="627"/>
      <c r="M327" s="627"/>
      <c r="N327" s="627"/>
      <c r="O327" s="623"/>
      <c r="P327" s="623"/>
      <c r="Q327" s="623"/>
      <c r="R327" s="623"/>
      <c r="S327" s="623"/>
      <c r="T327" s="623"/>
      <c r="U327" s="623"/>
      <c r="V327" s="627"/>
      <c r="W327" s="627"/>
      <c r="X327" s="627"/>
      <c r="Y327" s="627"/>
      <c r="Z327" s="627"/>
      <c r="AA327" s="627"/>
      <c r="AB327" s="627"/>
    </row>
    <row r="328" spans="1:28">
      <c r="A328" s="629" t="s">
        <v>325</v>
      </c>
      <c r="B328" s="630" t="s">
        <v>326</v>
      </c>
      <c r="C328" s="631"/>
      <c r="D328" s="631"/>
      <c r="E328" s="631" t="s">
        <v>327</v>
      </c>
      <c r="F328" s="631"/>
      <c r="G328" s="631"/>
      <c r="H328" s="631"/>
      <c r="I328" s="631"/>
      <c r="J328" s="631"/>
      <c r="K328" s="629" t="s">
        <v>328</v>
      </c>
      <c r="L328" s="629" t="s">
        <v>329</v>
      </c>
      <c r="M328" s="629" t="s">
        <v>330</v>
      </c>
      <c r="N328" s="741"/>
      <c r="O328" s="623"/>
      <c r="P328" s="629" t="s">
        <v>325</v>
      </c>
      <c r="Q328" s="632" t="s">
        <v>326</v>
      </c>
      <c r="R328" s="631"/>
      <c r="S328" s="631"/>
      <c r="T328" s="631" t="s">
        <v>331</v>
      </c>
      <c r="U328" s="631"/>
      <c r="V328" s="631"/>
      <c r="W328" s="631"/>
      <c r="X328" s="631"/>
      <c r="Y328" s="631"/>
      <c r="Z328" s="629" t="s">
        <v>328</v>
      </c>
      <c r="AA328" s="629" t="s">
        <v>329</v>
      </c>
      <c r="AB328" s="629" t="s">
        <v>330</v>
      </c>
    </row>
    <row r="329" spans="1:28">
      <c r="A329" s="633" t="s">
        <v>332</v>
      </c>
      <c r="B329" s="1063" t="s">
        <v>333</v>
      </c>
      <c r="C329" s="634"/>
      <c r="D329" s="634"/>
      <c r="E329" s="634" t="s">
        <v>334</v>
      </c>
      <c r="F329" s="634"/>
      <c r="G329" s="634"/>
      <c r="H329" s="634"/>
      <c r="I329" s="634"/>
      <c r="J329" s="634"/>
      <c r="K329" s="635" t="s">
        <v>335</v>
      </c>
      <c r="L329" s="635" t="s">
        <v>335</v>
      </c>
      <c r="M329" s="635" t="s">
        <v>335</v>
      </c>
      <c r="N329" s="741"/>
      <c r="O329" s="623"/>
      <c r="P329" s="633" t="s">
        <v>332</v>
      </c>
      <c r="Q329" s="636" t="s">
        <v>333</v>
      </c>
      <c r="R329" s="634"/>
      <c r="S329" s="634"/>
      <c r="T329" s="634" t="s">
        <v>336</v>
      </c>
      <c r="U329" s="634"/>
      <c r="V329" s="634"/>
      <c r="W329" s="634"/>
      <c r="X329" s="634"/>
      <c r="Y329" s="634"/>
      <c r="Z329" s="635" t="s">
        <v>335</v>
      </c>
      <c r="AA329" s="635" t="s">
        <v>335</v>
      </c>
      <c r="AB329" s="635" t="s">
        <v>335</v>
      </c>
    </row>
    <row r="330" spans="1:28">
      <c r="A330" s="633" t="s">
        <v>337</v>
      </c>
      <c r="B330" s="1063" t="s">
        <v>53</v>
      </c>
      <c r="C330" s="637" t="s">
        <v>338</v>
      </c>
      <c r="D330" s="637" t="s">
        <v>339</v>
      </c>
      <c r="E330" s="637"/>
      <c r="F330" s="637"/>
      <c r="G330" s="637"/>
      <c r="H330" s="637"/>
      <c r="I330" s="637"/>
      <c r="J330" s="638" t="s">
        <v>164</v>
      </c>
      <c r="K330" s="633" t="s">
        <v>340</v>
      </c>
      <c r="L330" s="633" t="s">
        <v>341</v>
      </c>
      <c r="M330" s="633" t="s">
        <v>341</v>
      </c>
      <c r="N330" s="742"/>
      <c r="O330" s="623"/>
      <c r="P330" s="633" t="s">
        <v>337</v>
      </c>
      <c r="Q330" s="636" t="s">
        <v>53</v>
      </c>
      <c r="R330" s="637" t="s">
        <v>338</v>
      </c>
      <c r="S330" s="637" t="s">
        <v>339</v>
      </c>
      <c r="T330" s="637"/>
      <c r="U330" s="637"/>
      <c r="V330" s="637"/>
      <c r="W330" s="637"/>
      <c r="X330" s="637"/>
      <c r="Y330" s="638" t="s">
        <v>164</v>
      </c>
      <c r="Z330" s="633" t="s">
        <v>340</v>
      </c>
      <c r="AA330" s="633" t="s">
        <v>341</v>
      </c>
      <c r="AB330" s="633" t="s">
        <v>341</v>
      </c>
    </row>
    <row r="331" spans="1:28">
      <c r="A331" s="639"/>
      <c r="B331" s="1064"/>
      <c r="C331" s="640" t="s">
        <v>342</v>
      </c>
      <c r="D331" s="640" t="s">
        <v>343</v>
      </c>
      <c r="E331" s="640" t="s">
        <v>127</v>
      </c>
      <c r="F331" s="640" t="s">
        <v>56</v>
      </c>
      <c r="G331" s="640" t="s">
        <v>344</v>
      </c>
      <c r="H331" s="640" t="s">
        <v>345</v>
      </c>
      <c r="I331" s="640" t="s">
        <v>122</v>
      </c>
      <c r="J331" s="634" t="s">
        <v>346</v>
      </c>
      <c r="K331" s="641" t="s">
        <v>361</v>
      </c>
      <c r="L331" s="641" t="s">
        <v>362</v>
      </c>
      <c r="M331" s="641" t="s">
        <v>363</v>
      </c>
      <c r="N331" s="741"/>
      <c r="O331" s="623"/>
      <c r="P331" s="639"/>
      <c r="Q331" s="642"/>
      <c r="R331" s="640" t="s">
        <v>342</v>
      </c>
      <c r="S331" s="640" t="s">
        <v>343</v>
      </c>
      <c r="T331" s="640" t="s">
        <v>127</v>
      </c>
      <c r="U331" s="640" t="s">
        <v>56</v>
      </c>
      <c r="V331" s="640" t="s">
        <v>344</v>
      </c>
      <c r="W331" s="640" t="s">
        <v>345</v>
      </c>
      <c r="X331" s="640" t="s">
        <v>122</v>
      </c>
      <c r="Y331" s="634" t="s">
        <v>346</v>
      </c>
      <c r="Z331" s="641" t="s">
        <v>361</v>
      </c>
      <c r="AA331" s="641" t="s">
        <v>362</v>
      </c>
      <c r="AB331" s="641" t="s">
        <v>363</v>
      </c>
    </row>
    <row r="332" spans="1:28">
      <c r="A332" s="643" t="s">
        <v>127</v>
      </c>
      <c r="B332" s="1065">
        <v>129229</v>
      </c>
      <c r="C332" s="644">
        <v>50308</v>
      </c>
      <c r="D332" s="644">
        <v>48206</v>
      </c>
      <c r="E332" s="645" t="s">
        <v>68</v>
      </c>
      <c r="F332" s="644">
        <v>21060</v>
      </c>
      <c r="G332" s="644">
        <v>9132</v>
      </c>
      <c r="H332" s="644">
        <v>44295</v>
      </c>
      <c r="I332" s="644">
        <v>23325</v>
      </c>
      <c r="J332" s="646">
        <v>21124</v>
      </c>
      <c r="K332" s="647">
        <v>19597</v>
      </c>
      <c r="L332" s="647">
        <v>7273</v>
      </c>
      <c r="M332" s="647">
        <v>6438</v>
      </c>
      <c r="N332" s="646"/>
      <c r="O332" s="623"/>
      <c r="P332" s="643" t="s">
        <v>127</v>
      </c>
      <c r="Q332" s="648">
        <v>0.35723806984804102</v>
      </c>
      <c r="R332" s="649">
        <v>0.68183986642283501</v>
      </c>
      <c r="S332" s="649">
        <v>0.68505995104343897</v>
      </c>
      <c r="T332" s="645" t="s">
        <v>68</v>
      </c>
      <c r="U332" s="649">
        <v>0.79814814814814805</v>
      </c>
      <c r="V332" s="649">
        <v>0.84954007884362703</v>
      </c>
      <c r="W332" s="649">
        <v>0.69448018963765701</v>
      </c>
      <c r="X332" s="649">
        <v>0.79712754555198295</v>
      </c>
      <c r="Y332" s="650">
        <v>0.82010982768415097</v>
      </c>
      <c r="Z332" s="651">
        <v>0.81231821197122001</v>
      </c>
      <c r="AA332" s="651">
        <v>0.87639213529492599</v>
      </c>
      <c r="AB332" s="651">
        <v>0.88381484933209098</v>
      </c>
    </row>
    <row r="333" spans="1:28">
      <c r="A333" s="652"/>
      <c r="B333" s="1066"/>
      <c r="C333" s="653">
        <v>0.38929342485045898</v>
      </c>
      <c r="D333" s="653">
        <v>0.37302772597481998</v>
      </c>
      <c r="E333" s="653"/>
      <c r="F333" s="653">
        <v>0.16296651680350399</v>
      </c>
      <c r="G333" s="653">
        <v>7.0665253155251503E-2</v>
      </c>
      <c r="H333" s="653">
        <v>0.34276362116862302</v>
      </c>
      <c r="I333" s="653">
        <v>0.18049354247111701</v>
      </c>
      <c r="J333" s="654">
        <v>0.16346176167887999</v>
      </c>
      <c r="K333" s="654">
        <v>0.15164552848044899</v>
      </c>
      <c r="L333" s="654">
        <v>5.6279937165806398E-2</v>
      </c>
      <c r="M333" s="654">
        <v>4.9818539182381702E-2</v>
      </c>
      <c r="N333" s="743"/>
      <c r="O333" s="623"/>
      <c r="P333" s="652"/>
      <c r="Q333" s="655"/>
      <c r="R333" s="653"/>
      <c r="S333" s="653"/>
      <c r="T333" s="653"/>
      <c r="U333" s="653"/>
      <c r="V333" s="653"/>
      <c r="W333" s="653"/>
      <c r="X333" s="653"/>
      <c r="Y333" s="656"/>
      <c r="Z333" s="657"/>
      <c r="AA333" s="657"/>
      <c r="AB333" s="657"/>
    </row>
    <row r="334" spans="1:28">
      <c r="A334" s="643" t="s">
        <v>56</v>
      </c>
      <c r="B334" s="1067">
        <v>336013</v>
      </c>
      <c r="C334" s="644">
        <v>75179</v>
      </c>
      <c r="D334" s="644">
        <v>73735</v>
      </c>
      <c r="E334" s="644">
        <v>30421</v>
      </c>
      <c r="F334" s="645" t="s">
        <v>68</v>
      </c>
      <c r="G334" s="644">
        <v>20481</v>
      </c>
      <c r="H334" s="644">
        <v>66674</v>
      </c>
      <c r="I334" s="644">
        <v>35332</v>
      </c>
      <c r="J334" s="646">
        <v>17789</v>
      </c>
      <c r="K334" s="647">
        <v>28624</v>
      </c>
      <c r="L334" s="647">
        <v>11072</v>
      </c>
      <c r="M334" s="647">
        <v>9533</v>
      </c>
      <c r="N334" s="646"/>
      <c r="O334" s="623"/>
      <c r="P334" s="643" t="s">
        <v>56</v>
      </c>
      <c r="Q334" s="651">
        <v>9.3238583045470294E-2</v>
      </c>
      <c r="R334" s="649">
        <v>0.344484497000492</v>
      </c>
      <c r="S334" s="649">
        <v>0.33676001898691299</v>
      </c>
      <c r="T334" s="649">
        <v>0.53962723118898104</v>
      </c>
      <c r="U334" s="645" t="s">
        <v>68</v>
      </c>
      <c r="V334" s="649">
        <v>0.52184951906645205</v>
      </c>
      <c r="W334" s="649">
        <v>0.339667636559978</v>
      </c>
      <c r="X334" s="649">
        <v>0.46428167100645301</v>
      </c>
      <c r="Y334" s="650">
        <v>0.56934060374388695</v>
      </c>
      <c r="Z334" s="651">
        <v>0.54828116266070404</v>
      </c>
      <c r="AA334" s="651">
        <v>0.69291907514450901</v>
      </c>
      <c r="AB334" s="651">
        <v>0.71142347634532699</v>
      </c>
    </row>
    <row r="335" spans="1:28">
      <c r="A335" s="652"/>
      <c r="B335" s="1066"/>
      <c r="C335" s="653">
        <v>0.22373836726555199</v>
      </c>
      <c r="D335" s="653">
        <v>0.21944091448842801</v>
      </c>
      <c r="E335" s="653">
        <v>9.0535187626669206E-2</v>
      </c>
      <c r="F335" s="653"/>
      <c r="G335" s="653">
        <v>6.0952998842306698E-2</v>
      </c>
      <c r="H335" s="653">
        <v>0.19842684658034099</v>
      </c>
      <c r="I335" s="653">
        <v>0.105150693574356</v>
      </c>
      <c r="J335" s="654">
        <v>5.2941404052819399E-2</v>
      </c>
      <c r="K335" s="654">
        <v>8.5187180257906697E-2</v>
      </c>
      <c r="L335" s="654">
        <v>3.2951106058396601E-2</v>
      </c>
      <c r="M335" s="654">
        <v>2.8370926124882099E-2</v>
      </c>
      <c r="N335" s="743"/>
      <c r="O335" s="623"/>
      <c r="P335" s="652"/>
      <c r="Q335" s="655"/>
      <c r="R335" s="653"/>
      <c r="S335" s="653"/>
      <c r="T335" s="653"/>
      <c r="U335" s="653"/>
      <c r="V335" s="653"/>
      <c r="W335" s="653"/>
      <c r="X335" s="653"/>
      <c r="Y335" s="656"/>
      <c r="Z335" s="657"/>
      <c r="AA335" s="657"/>
      <c r="AB335" s="657"/>
    </row>
    <row r="336" spans="1:28">
      <c r="A336" s="643" t="s">
        <v>344</v>
      </c>
      <c r="B336" s="1067">
        <v>125249</v>
      </c>
      <c r="C336" s="644">
        <v>21674</v>
      </c>
      <c r="D336" s="644">
        <v>21481</v>
      </c>
      <c r="E336" s="644">
        <v>6987</v>
      </c>
      <c r="F336" s="644">
        <v>7257</v>
      </c>
      <c r="G336" s="645" t="s">
        <v>68</v>
      </c>
      <c r="H336" s="644">
        <v>19715</v>
      </c>
      <c r="I336" s="644">
        <v>9501</v>
      </c>
      <c r="J336" s="646">
        <v>3381</v>
      </c>
      <c r="K336" s="647">
        <v>3682</v>
      </c>
      <c r="L336" s="647">
        <v>3682</v>
      </c>
      <c r="M336" s="647">
        <v>2881</v>
      </c>
      <c r="N336" s="646"/>
      <c r="O336" s="623"/>
      <c r="P336" s="643" t="s">
        <v>344</v>
      </c>
      <c r="Q336" s="651">
        <v>6.9055166397471002E-2</v>
      </c>
      <c r="R336" s="649">
        <v>0.25934299160284202</v>
      </c>
      <c r="S336" s="649">
        <v>0.25627298542898402</v>
      </c>
      <c r="T336" s="649">
        <v>0.42364391011879199</v>
      </c>
      <c r="U336" s="649">
        <v>0.372330163979606</v>
      </c>
      <c r="V336" s="645" t="s">
        <v>68</v>
      </c>
      <c r="W336" s="649">
        <v>0.24549835150900301</v>
      </c>
      <c r="X336" s="649">
        <v>0.32028207557099297</v>
      </c>
      <c r="Y336" s="650">
        <v>0.47412008281573498</v>
      </c>
      <c r="Z336" s="651">
        <v>0.47582835415535002</v>
      </c>
      <c r="AA336" s="651">
        <v>0.47582835415535002</v>
      </c>
      <c r="AB336" s="651">
        <v>0.48420687261367601</v>
      </c>
    </row>
    <row r="337" spans="1:28">
      <c r="A337" s="652"/>
      <c r="B337" s="1066"/>
      <c r="C337" s="653">
        <v>0.173047289798721</v>
      </c>
      <c r="D337" s="653">
        <v>0.17150635933221001</v>
      </c>
      <c r="E337" s="653">
        <v>5.57848765259603E-2</v>
      </c>
      <c r="F337" s="653">
        <v>5.7940582359939E-2</v>
      </c>
      <c r="G337" s="653"/>
      <c r="H337" s="653">
        <v>0.15740644635885301</v>
      </c>
      <c r="I337" s="653">
        <v>7.5856893069006504E-2</v>
      </c>
      <c r="J337" s="654">
        <v>2.6994227498822299E-2</v>
      </c>
      <c r="K337" s="654">
        <v>2.93974402989245E-2</v>
      </c>
      <c r="L337" s="654">
        <v>2.93974402989245E-2</v>
      </c>
      <c r="M337" s="654">
        <v>2.3002179658121E-2</v>
      </c>
      <c r="N337" s="743"/>
      <c r="O337" s="623"/>
      <c r="P337" s="652"/>
      <c r="Q337" s="655"/>
      <c r="R337" s="653"/>
      <c r="S337" s="653"/>
      <c r="T337" s="653"/>
      <c r="U337" s="653"/>
      <c r="V337" s="659"/>
      <c r="W337" s="653"/>
      <c r="X337" s="653"/>
      <c r="Y337" s="656"/>
      <c r="Z337" s="657"/>
      <c r="AA337" s="657"/>
      <c r="AB337" s="657"/>
    </row>
    <row r="338" spans="1:28">
      <c r="A338" s="643" t="s">
        <v>347</v>
      </c>
      <c r="B338" s="1067">
        <v>215904</v>
      </c>
      <c r="C338" s="644">
        <v>80393</v>
      </c>
      <c r="D338" s="644">
        <v>68023</v>
      </c>
      <c r="E338" s="644">
        <v>59147</v>
      </c>
      <c r="F338" s="644">
        <v>34476</v>
      </c>
      <c r="G338" s="644">
        <v>18158</v>
      </c>
      <c r="H338" s="658" t="s">
        <v>68</v>
      </c>
      <c r="I338" s="644">
        <v>33447</v>
      </c>
      <c r="J338" s="646">
        <v>50669</v>
      </c>
      <c r="K338" s="647">
        <v>30702</v>
      </c>
      <c r="L338" s="647">
        <v>13911</v>
      </c>
      <c r="M338" s="647">
        <v>11513</v>
      </c>
      <c r="N338" s="646"/>
      <c r="O338" s="623"/>
      <c r="P338" s="643" t="s">
        <v>347</v>
      </c>
      <c r="Q338" s="651">
        <v>0.25419989125071102</v>
      </c>
      <c r="R338" s="649">
        <v>0.703941885487542</v>
      </c>
      <c r="S338" s="649">
        <v>0.74507151992708398</v>
      </c>
      <c r="T338" s="649">
        <v>0.80223849054051799</v>
      </c>
      <c r="U338" s="649">
        <v>0.800092818192366</v>
      </c>
      <c r="V338" s="649">
        <v>0.85527040422954104</v>
      </c>
      <c r="W338" s="658" t="s">
        <v>68</v>
      </c>
      <c r="X338" s="649">
        <v>0.75334110682572397</v>
      </c>
      <c r="Y338" s="650">
        <v>0.73871598018512297</v>
      </c>
      <c r="Z338" s="651">
        <v>0.85020519835841302</v>
      </c>
      <c r="AA338" s="651">
        <v>0.89943210409028795</v>
      </c>
      <c r="AB338" s="651">
        <v>0.90515069920958902</v>
      </c>
    </row>
    <row r="339" spans="1:28">
      <c r="A339" s="652"/>
      <c r="B339" s="1077"/>
      <c r="C339" s="653">
        <v>0.372355306061953</v>
      </c>
      <c r="D339" s="653">
        <v>0.31506132355120797</v>
      </c>
      <c r="E339" s="653">
        <v>0.27395045946346502</v>
      </c>
      <c r="F339" s="653">
        <v>0.159682080924856</v>
      </c>
      <c r="G339" s="653">
        <v>8.4102193567511502E-2</v>
      </c>
      <c r="H339" s="653"/>
      <c r="I339" s="653">
        <v>0.15491607381058201</v>
      </c>
      <c r="J339" s="654">
        <v>0.234683007262487</v>
      </c>
      <c r="K339" s="654">
        <v>0.142202089817697</v>
      </c>
      <c r="L339" s="654">
        <v>6.4431413961760803E-2</v>
      </c>
      <c r="M339" s="654">
        <v>5.33246257595969E-2</v>
      </c>
      <c r="N339" s="743"/>
      <c r="O339" s="623"/>
      <c r="P339" s="652"/>
      <c r="Q339" s="661"/>
      <c r="R339" s="653"/>
      <c r="S339" s="653"/>
      <c r="T339" s="653"/>
      <c r="U339" s="653"/>
      <c r="V339" s="653"/>
      <c r="W339" s="738"/>
      <c r="X339" s="653"/>
      <c r="Y339" s="656"/>
      <c r="Z339" s="657"/>
      <c r="AA339" s="657"/>
      <c r="AB339" s="657"/>
    </row>
    <row r="340" spans="1:28">
      <c r="A340" s="643" t="s">
        <v>122</v>
      </c>
      <c r="B340" s="1067">
        <v>121968</v>
      </c>
      <c r="C340" s="644">
        <v>5987</v>
      </c>
      <c r="D340" s="644">
        <v>5815</v>
      </c>
      <c r="E340" s="644">
        <v>2240</v>
      </c>
      <c r="F340" s="644">
        <v>1175</v>
      </c>
      <c r="G340" s="644">
        <v>496</v>
      </c>
      <c r="H340" s="644">
        <v>4955</v>
      </c>
      <c r="I340" s="658" t="s">
        <v>68</v>
      </c>
      <c r="J340" s="646">
        <v>796</v>
      </c>
      <c r="K340" s="647">
        <v>629</v>
      </c>
      <c r="L340" s="647">
        <v>270</v>
      </c>
      <c r="M340" s="647">
        <v>270</v>
      </c>
      <c r="N340" s="646"/>
      <c r="O340" s="623"/>
      <c r="P340" s="643" t="s">
        <v>122</v>
      </c>
      <c r="Q340" s="651">
        <v>4.6947715376273402E-2</v>
      </c>
      <c r="R340" s="649">
        <v>0.42041089026223499</v>
      </c>
      <c r="S340" s="649">
        <v>0.42012037833190002</v>
      </c>
      <c r="T340" s="649">
        <v>0.74464285714285705</v>
      </c>
      <c r="U340" s="649">
        <v>0.64340425531914902</v>
      </c>
      <c r="V340" s="649">
        <v>0.83064516129032295</v>
      </c>
      <c r="W340" s="649">
        <v>0.40504540867810301</v>
      </c>
      <c r="X340" s="658" t="s">
        <v>68</v>
      </c>
      <c r="Y340" s="650">
        <v>0.68592964824120595</v>
      </c>
      <c r="Z340" s="651">
        <v>0.86168521462639103</v>
      </c>
      <c r="AA340" s="651">
        <v>0.93333333333333302</v>
      </c>
      <c r="AB340" s="651">
        <v>0.93333333333333302</v>
      </c>
    </row>
    <row r="341" spans="1:28">
      <c r="A341" s="662"/>
      <c r="B341" s="1078"/>
      <c r="C341" s="663">
        <v>4.9086645677554802E-2</v>
      </c>
      <c r="D341" s="664">
        <v>4.7676439721894302E-2</v>
      </c>
      <c r="E341" s="664">
        <v>1.8365472910927501E-2</v>
      </c>
      <c r="F341" s="664">
        <v>9.6336744064016797E-3</v>
      </c>
      <c r="G341" s="664">
        <v>4.0666404302767897E-3</v>
      </c>
      <c r="H341" s="664">
        <v>4.0625409943591803E-2</v>
      </c>
      <c r="I341" s="664"/>
      <c r="J341" s="665">
        <v>6.5263019808474397E-3</v>
      </c>
      <c r="K341" s="666">
        <v>5.1570903843631104E-3</v>
      </c>
      <c r="L341" s="666">
        <v>2.2136953955135801E-3</v>
      </c>
      <c r="M341" s="666">
        <v>2.2136953955135801E-3</v>
      </c>
      <c r="N341" s="743"/>
      <c r="O341" s="623"/>
      <c r="P341" s="662"/>
      <c r="Q341" s="667"/>
      <c r="R341" s="664"/>
      <c r="S341" s="664"/>
      <c r="T341" s="664"/>
      <c r="U341" s="664"/>
      <c r="V341" s="664"/>
      <c r="W341" s="664"/>
      <c r="X341" s="664"/>
      <c r="Y341" s="665"/>
      <c r="Z341" s="666"/>
      <c r="AA341" s="666"/>
      <c r="AB341" s="666"/>
    </row>
    <row r="342" spans="1:28">
      <c r="A342" s="668" t="s">
        <v>348</v>
      </c>
      <c r="B342" s="744">
        <v>928363</v>
      </c>
      <c r="C342" s="670">
        <v>233541</v>
      </c>
      <c r="D342" s="670">
        <v>217260</v>
      </c>
      <c r="E342" s="670">
        <v>98795</v>
      </c>
      <c r="F342" s="670">
        <v>63968</v>
      </c>
      <c r="G342" s="670">
        <v>48267</v>
      </c>
      <c r="H342" s="670">
        <v>135639</v>
      </c>
      <c r="I342" s="670">
        <v>101605</v>
      </c>
      <c r="J342" s="671">
        <v>93759</v>
      </c>
      <c r="K342" s="672">
        <v>83234</v>
      </c>
      <c r="L342" s="672">
        <v>36208</v>
      </c>
      <c r="M342" s="672">
        <v>30635</v>
      </c>
      <c r="N342" s="671"/>
      <c r="O342" s="623"/>
      <c r="P342" s="668" t="s">
        <v>348</v>
      </c>
      <c r="Q342" s="673">
        <v>0.17092378997677801</v>
      </c>
      <c r="R342" s="674">
        <v>0.53493819072454096</v>
      </c>
      <c r="S342" s="674">
        <v>0.53615483752186299</v>
      </c>
      <c r="T342" s="674">
        <v>0.69329419505035705</v>
      </c>
      <c r="U342" s="674">
        <v>0.74804589794897403</v>
      </c>
      <c r="V342" s="674">
        <v>0.71245364327594396</v>
      </c>
      <c r="W342" s="674">
        <v>0.44423801414047598</v>
      </c>
      <c r="X342" s="674">
        <v>0.62238078834703003</v>
      </c>
      <c r="Y342" s="675">
        <v>0.71492870017811605</v>
      </c>
      <c r="Z342" s="673">
        <v>0.72097940745368505</v>
      </c>
      <c r="AA342" s="673">
        <v>0.78883119752540898</v>
      </c>
      <c r="AB342" s="673">
        <v>0.80104455687938603</v>
      </c>
    </row>
    <row r="343" spans="1:28">
      <c r="A343" s="676" t="s">
        <v>349</v>
      </c>
      <c r="B343" s="677"/>
      <c r="C343" s="682">
        <v>0.25156215833677098</v>
      </c>
      <c r="D343" s="682">
        <v>0.23402483726731901</v>
      </c>
      <c r="E343" s="682">
        <v>0.10641850224535</v>
      </c>
      <c r="F343" s="682">
        <v>6.8904081700800202E-2</v>
      </c>
      <c r="G343" s="682">
        <v>5.1991516249570498E-2</v>
      </c>
      <c r="H343" s="682">
        <v>0.146105564310512</v>
      </c>
      <c r="I343" s="682">
        <v>0.109445335499153</v>
      </c>
      <c r="J343" s="683">
        <v>0.100993900015403</v>
      </c>
      <c r="K343" s="684">
        <v>8.9656739874380997E-2</v>
      </c>
      <c r="L343" s="684">
        <v>3.9001985214835097E-2</v>
      </c>
      <c r="M343" s="684">
        <v>3.2998945455603002E-2</v>
      </c>
      <c r="N343" s="706"/>
      <c r="O343" s="623"/>
      <c r="P343" s="676" t="s">
        <v>349</v>
      </c>
      <c r="Q343" s="681"/>
      <c r="R343" s="682"/>
      <c r="S343" s="682"/>
      <c r="T343" s="682"/>
      <c r="U343" s="682"/>
      <c r="V343" s="682"/>
      <c r="W343" s="682"/>
      <c r="X343" s="682"/>
      <c r="Y343" s="683"/>
      <c r="Z343" s="684"/>
      <c r="AA343" s="684"/>
      <c r="AB343" s="684"/>
    </row>
    <row r="344" spans="1:28">
      <c r="A344" s="643" t="s">
        <v>51</v>
      </c>
      <c r="B344" s="1067">
        <v>67018</v>
      </c>
      <c r="C344" s="644">
        <v>15346</v>
      </c>
      <c r="D344" s="644">
        <v>15346</v>
      </c>
      <c r="E344" s="644">
        <v>4205</v>
      </c>
      <c r="F344" s="644">
        <v>2636</v>
      </c>
      <c r="G344" s="644">
        <v>1074</v>
      </c>
      <c r="H344" s="644">
        <v>14035</v>
      </c>
      <c r="I344" s="644">
        <v>1744</v>
      </c>
      <c r="J344" s="685" t="s">
        <v>68</v>
      </c>
      <c r="K344" s="686">
        <v>1364</v>
      </c>
      <c r="L344" s="686">
        <v>535</v>
      </c>
      <c r="M344" s="686">
        <v>395</v>
      </c>
      <c r="N344" s="646"/>
      <c r="O344" s="623"/>
      <c r="P344" s="643" t="s">
        <v>51</v>
      </c>
      <c r="Q344" s="651">
        <v>9.12743481712157E-2</v>
      </c>
      <c r="R344" s="649">
        <v>0.28052912811156</v>
      </c>
      <c r="S344" s="649">
        <v>0.28052912811156</v>
      </c>
      <c r="T344" s="649">
        <v>0.74673008323424495</v>
      </c>
      <c r="U344" s="649">
        <v>0.46320182094081902</v>
      </c>
      <c r="V344" s="649">
        <v>0.58193668528864095</v>
      </c>
      <c r="W344" s="649">
        <v>0.26198788742429602</v>
      </c>
      <c r="X344" s="649">
        <v>0.85435779816513802</v>
      </c>
      <c r="Y344" s="658" t="s">
        <v>68</v>
      </c>
      <c r="Z344" s="651">
        <v>0.774926686217009</v>
      </c>
      <c r="AA344" s="651">
        <v>0.82990654205607495</v>
      </c>
      <c r="AB344" s="651">
        <v>0.95696202531645602</v>
      </c>
    </row>
    <row r="345" spans="1:28">
      <c r="A345" s="687"/>
      <c r="B345" s="1064"/>
      <c r="C345" s="688">
        <v>0.22898325822913199</v>
      </c>
      <c r="D345" s="688">
        <v>0.22898325822913199</v>
      </c>
      <c r="E345" s="688">
        <v>6.2744337342206594E-2</v>
      </c>
      <c r="F345" s="688">
        <v>3.9332716583604398E-2</v>
      </c>
      <c r="G345" s="688">
        <v>1.6025545375869199E-2</v>
      </c>
      <c r="H345" s="688">
        <v>0.20942134948819699</v>
      </c>
      <c r="I345" s="688">
        <v>2.6022859530275399E-2</v>
      </c>
      <c r="J345" s="689"/>
      <c r="K345" s="690">
        <v>2.0352741054642E-2</v>
      </c>
      <c r="L345" s="690">
        <v>7.9829299591154604E-3</v>
      </c>
      <c r="M345" s="690">
        <v>5.8939389417768401E-3</v>
      </c>
      <c r="N345" s="743"/>
      <c r="O345" s="623"/>
      <c r="P345" s="687"/>
      <c r="Q345" s="642"/>
      <c r="R345" s="688"/>
      <c r="S345" s="688"/>
      <c r="T345" s="688"/>
      <c r="U345" s="688"/>
      <c r="V345" s="688"/>
      <c r="W345" s="688"/>
      <c r="X345" s="688"/>
      <c r="Y345" s="689"/>
      <c r="Z345" s="690"/>
      <c r="AA345" s="690"/>
      <c r="AB345" s="690"/>
    </row>
    <row r="346" spans="1:28">
      <c r="A346" s="668" t="s">
        <v>350</v>
      </c>
      <c r="B346" s="691">
        <v>995381</v>
      </c>
      <c r="C346" s="692">
        <v>248887</v>
      </c>
      <c r="D346" s="693">
        <v>232606</v>
      </c>
      <c r="E346" s="693">
        <v>103000</v>
      </c>
      <c r="F346" s="693">
        <v>66604</v>
      </c>
      <c r="G346" s="693">
        <v>49341</v>
      </c>
      <c r="H346" s="693">
        <v>149674</v>
      </c>
      <c r="I346" s="693">
        <v>103349</v>
      </c>
      <c r="J346" s="694">
        <v>93759</v>
      </c>
      <c r="K346" s="695">
        <v>84598</v>
      </c>
      <c r="L346" s="695">
        <v>36743</v>
      </c>
      <c r="M346" s="695">
        <v>31030</v>
      </c>
      <c r="N346" s="745"/>
      <c r="O346" s="623"/>
      <c r="P346" s="668" t="s">
        <v>350</v>
      </c>
      <c r="Q346" s="696">
        <v>0.16509880099135901</v>
      </c>
      <c r="R346" s="697">
        <v>0.51925170860671699</v>
      </c>
      <c r="S346" s="698">
        <v>0.51929013009122704</v>
      </c>
      <c r="T346" s="698">
        <v>0.69547572815533998</v>
      </c>
      <c r="U346" s="698">
        <v>0.73677256621223997</v>
      </c>
      <c r="V346" s="698">
        <v>0.70961269532437499</v>
      </c>
      <c r="W346" s="698">
        <v>0.42714833571629002</v>
      </c>
      <c r="X346" s="698">
        <v>0.62629536812160702</v>
      </c>
      <c r="Y346" s="699">
        <v>0.71492870017811605</v>
      </c>
      <c r="Z346" s="700">
        <v>0.72184921629352905</v>
      </c>
      <c r="AA346" s="700">
        <v>0.78942927904634896</v>
      </c>
      <c r="AB346" s="700">
        <v>0.80302932645826597</v>
      </c>
    </row>
    <row r="347" spans="1:28" ht="15.75" thickBot="1">
      <c r="A347" s="701"/>
      <c r="B347" s="740"/>
      <c r="C347" s="703">
        <v>0.25004194373812599</v>
      </c>
      <c r="D347" s="703">
        <v>0.23368539282947901</v>
      </c>
      <c r="E347" s="703">
        <v>0.103477964719037</v>
      </c>
      <c r="F347" s="703">
        <v>6.6913071477153002E-2</v>
      </c>
      <c r="G347" s="703">
        <v>4.9569963662155499E-2</v>
      </c>
      <c r="H347" s="703">
        <v>0.15036855234327401</v>
      </c>
      <c r="I347" s="703">
        <v>0.103828584230561</v>
      </c>
      <c r="J347" s="704">
        <v>9.41940824669147E-2</v>
      </c>
      <c r="K347" s="705">
        <v>8.4990571449525404E-2</v>
      </c>
      <c r="L347" s="705">
        <v>3.6913503472539702E-2</v>
      </c>
      <c r="M347" s="705">
        <v>3.1173992672152699E-2</v>
      </c>
      <c r="N347" s="706"/>
      <c r="O347" s="623"/>
      <c r="P347" s="701"/>
      <c r="Q347" s="702"/>
      <c r="R347" s="703"/>
      <c r="S347" s="703"/>
      <c r="T347" s="703"/>
      <c r="U347" s="703"/>
      <c r="V347" s="703"/>
      <c r="W347" s="703"/>
      <c r="X347" s="703"/>
      <c r="Y347" s="704"/>
      <c r="Z347" s="705"/>
      <c r="AA347" s="705"/>
      <c r="AB347" s="705"/>
    </row>
    <row r="348" spans="1:28">
      <c r="A348" s="623"/>
      <c r="B348" s="964"/>
      <c r="C348" s="623"/>
      <c r="D348" s="623"/>
      <c r="E348" s="623"/>
      <c r="F348" s="623"/>
      <c r="G348" s="623"/>
      <c r="H348" s="965"/>
      <c r="I348" s="965"/>
      <c r="J348" s="965"/>
      <c r="K348" s="965"/>
      <c r="L348" s="965"/>
      <c r="M348" s="965"/>
      <c r="N348" s="623"/>
      <c r="O348" s="623"/>
      <c r="P348" s="623"/>
      <c r="Q348" s="623"/>
      <c r="R348" s="623"/>
      <c r="S348" s="623"/>
      <c r="T348" s="623"/>
      <c r="U348" s="623"/>
      <c r="V348" s="965"/>
      <c r="W348" s="965"/>
      <c r="X348" s="965"/>
      <c r="Y348" s="965"/>
      <c r="Z348" s="965"/>
      <c r="AA348" s="965"/>
      <c r="AB348" s="965"/>
    </row>
    <row r="349" spans="1:28">
      <c r="A349" s="623"/>
      <c r="B349" s="964"/>
      <c r="C349" s="623"/>
      <c r="D349" s="623"/>
      <c r="E349" s="623"/>
      <c r="F349" s="623"/>
      <c r="G349" s="965"/>
      <c r="H349" s="965"/>
      <c r="I349" s="965"/>
      <c r="J349" s="965"/>
      <c r="K349" s="965"/>
      <c r="L349" s="965"/>
      <c r="M349" s="965"/>
      <c r="N349" s="965"/>
      <c r="O349" s="623"/>
      <c r="P349" s="623" t="s">
        <v>355</v>
      </c>
      <c r="Q349" s="623" t="s">
        <v>356</v>
      </c>
      <c r="R349" s="623"/>
      <c r="S349" s="623"/>
      <c r="T349" s="623"/>
      <c r="U349" s="623"/>
      <c r="V349" s="965"/>
      <c r="W349" s="965"/>
      <c r="X349" s="965"/>
      <c r="Y349" s="965"/>
      <c r="Z349" s="965"/>
      <c r="AA349" s="965"/>
      <c r="AB349" s="965"/>
    </row>
    <row r="350" spans="1:28">
      <c r="A350" s="625" t="s">
        <v>324</v>
      </c>
      <c r="B350" s="626"/>
      <c r="C350" s="625">
        <v>2005</v>
      </c>
      <c r="D350" s="623"/>
      <c r="E350" s="623"/>
      <c r="F350" s="623"/>
      <c r="G350" s="623"/>
      <c r="H350" s="623"/>
      <c r="I350" s="623"/>
      <c r="J350" s="623"/>
      <c r="K350" s="623"/>
      <c r="L350" s="623"/>
      <c r="M350" s="623"/>
      <c r="N350" s="623"/>
      <c r="O350" s="623"/>
      <c r="P350" s="625" t="s">
        <v>324</v>
      </c>
      <c r="Q350" s="625"/>
      <c r="R350" s="625">
        <v>2005</v>
      </c>
      <c r="S350" s="623"/>
      <c r="T350" s="623"/>
      <c r="U350" s="623"/>
      <c r="V350" s="627"/>
      <c r="W350" s="627"/>
      <c r="X350" s="627"/>
      <c r="Y350" s="627"/>
      <c r="Z350" s="627"/>
      <c r="AA350" s="627"/>
      <c r="AB350" s="627"/>
    </row>
    <row r="351" spans="1:28" ht="15.75" thickBot="1">
      <c r="A351" s="623"/>
      <c r="B351" s="964"/>
      <c r="C351" s="623"/>
      <c r="D351" s="623"/>
      <c r="E351" s="623"/>
      <c r="F351" s="623"/>
      <c r="G351" s="627"/>
      <c r="H351" s="627"/>
      <c r="I351" s="627"/>
      <c r="J351" s="627"/>
      <c r="K351" s="627"/>
      <c r="L351" s="627"/>
      <c r="M351" s="627"/>
      <c r="N351" s="627"/>
      <c r="O351" s="623"/>
      <c r="P351" s="623"/>
      <c r="Q351" s="623"/>
      <c r="R351" s="623"/>
      <c r="S351" s="623"/>
      <c r="T351" s="623"/>
      <c r="U351" s="623"/>
      <c r="V351" s="627"/>
      <c r="W351" s="627"/>
      <c r="X351" s="627"/>
      <c r="Y351" s="627"/>
      <c r="Z351" s="627"/>
      <c r="AA351" s="627"/>
      <c r="AB351" s="627"/>
    </row>
    <row r="352" spans="1:28">
      <c r="A352" s="629" t="s">
        <v>325</v>
      </c>
      <c r="B352" s="630" t="s">
        <v>326</v>
      </c>
      <c r="C352" s="631"/>
      <c r="D352" s="631"/>
      <c r="E352" s="631" t="s">
        <v>327</v>
      </c>
      <c r="F352" s="631"/>
      <c r="G352" s="631"/>
      <c r="H352" s="631"/>
      <c r="I352" s="631"/>
      <c r="J352" s="631"/>
      <c r="K352" s="629" t="s">
        <v>328</v>
      </c>
      <c r="L352" s="629" t="s">
        <v>329</v>
      </c>
      <c r="M352" s="629" t="s">
        <v>330</v>
      </c>
      <c r="N352" s="741"/>
      <c r="O352" s="623"/>
      <c r="P352" s="629" t="s">
        <v>325</v>
      </c>
      <c r="Q352" s="632" t="s">
        <v>326</v>
      </c>
      <c r="R352" s="631"/>
      <c r="S352" s="631"/>
      <c r="T352" s="631" t="s">
        <v>331</v>
      </c>
      <c r="U352" s="631"/>
      <c r="V352" s="631"/>
      <c r="W352" s="631"/>
      <c r="X352" s="631"/>
      <c r="Y352" s="631"/>
      <c r="Z352" s="629" t="s">
        <v>328</v>
      </c>
      <c r="AA352" s="629" t="s">
        <v>329</v>
      </c>
      <c r="AB352" s="629" t="s">
        <v>330</v>
      </c>
    </row>
    <row r="353" spans="1:28">
      <c r="A353" s="633" t="s">
        <v>332</v>
      </c>
      <c r="B353" s="1063" t="s">
        <v>333</v>
      </c>
      <c r="C353" s="634"/>
      <c r="D353" s="634"/>
      <c r="E353" s="634" t="s">
        <v>334</v>
      </c>
      <c r="F353" s="634"/>
      <c r="G353" s="634"/>
      <c r="H353" s="634"/>
      <c r="I353" s="634"/>
      <c r="J353" s="634"/>
      <c r="K353" s="635" t="s">
        <v>335</v>
      </c>
      <c r="L353" s="635" t="s">
        <v>335</v>
      </c>
      <c r="M353" s="635" t="s">
        <v>335</v>
      </c>
      <c r="N353" s="741"/>
      <c r="O353" s="623"/>
      <c r="P353" s="633" t="s">
        <v>332</v>
      </c>
      <c r="Q353" s="636" t="s">
        <v>333</v>
      </c>
      <c r="R353" s="634"/>
      <c r="S353" s="634"/>
      <c r="T353" s="634" t="s">
        <v>336</v>
      </c>
      <c r="U353" s="634"/>
      <c r="V353" s="634"/>
      <c r="W353" s="634"/>
      <c r="X353" s="634"/>
      <c r="Y353" s="634"/>
      <c r="Z353" s="635" t="s">
        <v>335</v>
      </c>
      <c r="AA353" s="635" t="s">
        <v>335</v>
      </c>
      <c r="AB353" s="635" t="s">
        <v>335</v>
      </c>
    </row>
    <row r="354" spans="1:28">
      <c r="A354" s="633" t="s">
        <v>337</v>
      </c>
      <c r="B354" s="1063" t="s">
        <v>53</v>
      </c>
      <c r="C354" s="637" t="s">
        <v>338</v>
      </c>
      <c r="D354" s="637" t="s">
        <v>339</v>
      </c>
      <c r="E354" s="637"/>
      <c r="F354" s="637"/>
      <c r="G354" s="637"/>
      <c r="H354" s="637"/>
      <c r="I354" s="637"/>
      <c r="J354" s="638" t="s">
        <v>164</v>
      </c>
      <c r="K354" s="633" t="s">
        <v>340</v>
      </c>
      <c r="L354" s="633" t="s">
        <v>341</v>
      </c>
      <c r="M354" s="633" t="s">
        <v>341</v>
      </c>
      <c r="N354" s="742"/>
      <c r="O354" s="623"/>
      <c r="P354" s="633" t="s">
        <v>337</v>
      </c>
      <c r="Q354" s="636" t="s">
        <v>53</v>
      </c>
      <c r="R354" s="637" t="s">
        <v>338</v>
      </c>
      <c r="S354" s="637" t="s">
        <v>339</v>
      </c>
      <c r="T354" s="637"/>
      <c r="U354" s="637"/>
      <c r="V354" s="637"/>
      <c r="W354" s="637"/>
      <c r="X354" s="637"/>
      <c r="Y354" s="638" t="s">
        <v>164</v>
      </c>
      <c r="Z354" s="633" t="s">
        <v>340</v>
      </c>
      <c r="AA354" s="633" t="s">
        <v>341</v>
      </c>
      <c r="AB354" s="633" t="s">
        <v>341</v>
      </c>
    </row>
    <row r="355" spans="1:28">
      <c r="A355" s="639"/>
      <c r="B355" s="1064"/>
      <c r="C355" s="640" t="s">
        <v>342</v>
      </c>
      <c r="D355" s="640" t="s">
        <v>343</v>
      </c>
      <c r="E355" s="640" t="s">
        <v>127</v>
      </c>
      <c r="F355" s="640" t="s">
        <v>56</v>
      </c>
      <c r="G355" s="640" t="s">
        <v>344</v>
      </c>
      <c r="H355" s="640" t="s">
        <v>345</v>
      </c>
      <c r="I355" s="640" t="s">
        <v>122</v>
      </c>
      <c r="J355" s="634" t="s">
        <v>346</v>
      </c>
      <c r="K355" s="641" t="s">
        <v>361</v>
      </c>
      <c r="L355" s="641" t="s">
        <v>362</v>
      </c>
      <c r="M355" s="641" t="s">
        <v>363</v>
      </c>
      <c r="N355" s="741"/>
      <c r="O355" s="623"/>
      <c r="P355" s="639"/>
      <c r="Q355" s="642"/>
      <c r="R355" s="640" t="s">
        <v>342</v>
      </c>
      <c r="S355" s="640" t="s">
        <v>343</v>
      </c>
      <c r="T355" s="640" t="s">
        <v>127</v>
      </c>
      <c r="U355" s="640" t="s">
        <v>56</v>
      </c>
      <c r="V355" s="640" t="s">
        <v>344</v>
      </c>
      <c r="W355" s="640" t="s">
        <v>345</v>
      </c>
      <c r="X355" s="640" t="s">
        <v>122</v>
      </c>
      <c r="Y355" s="634" t="s">
        <v>346</v>
      </c>
      <c r="Z355" s="641" t="s">
        <v>361</v>
      </c>
      <c r="AA355" s="641" t="s">
        <v>362</v>
      </c>
      <c r="AB355" s="641" t="s">
        <v>363</v>
      </c>
    </row>
    <row r="356" spans="1:28">
      <c r="A356" s="643" t="s">
        <v>127</v>
      </c>
      <c r="B356" s="1065">
        <v>126652</v>
      </c>
      <c r="C356" s="644">
        <v>50381</v>
      </c>
      <c r="D356" s="644">
        <v>48634</v>
      </c>
      <c r="E356" s="645" t="s">
        <v>68</v>
      </c>
      <c r="F356" s="644">
        <v>23023</v>
      </c>
      <c r="G356" s="644">
        <v>9912</v>
      </c>
      <c r="H356" s="644">
        <v>44954</v>
      </c>
      <c r="I356" s="644">
        <v>23197</v>
      </c>
      <c r="J356" s="646">
        <v>21150</v>
      </c>
      <c r="K356" s="647">
        <v>21422</v>
      </c>
      <c r="L356" s="647">
        <v>8026</v>
      </c>
      <c r="M356" s="647">
        <v>7021</v>
      </c>
      <c r="N356" s="646"/>
      <c r="O356" s="623"/>
      <c r="P356" s="643" t="s">
        <v>127</v>
      </c>
      <c r="Q356" s="648">
        <v>0.349566059414813</v>
      </c>
      <c r="R356" s="649">
        <v>0.67610805660864204</v>
      </c>
      <c r="S356" s="649">
        <v>0.67960685939877497</v>
      </c>
      <c r="T356" s="645" t="s">
        <v>68</v>
      </c>
      <c r="U356" s="649">
        <v>0.81045041914607097</v>
      </c>
      <c r="V356" s="649">
        <v>0.86440677966101698</v>
      </c>
      <c r="W356" s="649">
        <v>0.68612359300618397</v>
      </c>
      <c r="X356" s="649">
        <v>0.79738759322326203</v>
      </c>
      <c r="Y356" s="650">
        <v>0.82595744680851102</v>
      </c>
      <c r="Z356" s="651">
        <v>0.81920455606386</v>
      </c>
      <c r="AA356" s="651">
        <v>0.88848741589833002</v>
      </c>
      <c r="AB356" s="651">
        <v>0.89460190856003396</v>
      </c>
    </row>
    <row r="357" spans="1:28">
      <c r="A357" s="652"/>
      <c r="B357" s="1066"/>
      <c r="C357" s="653">
        <v>0.39779079682910701</v>
      </c>
      <c r="D357" s="653">
        <v>0.38399709440040403</v>
      </c>
      <c r="E357" s="653"/>
      <c r="F357" s="653">
        <v>0.18178157470865</v>
      </c>
      <c r="G357" s="653">
        <v>7.8261693459242707E-2</v>
      </c>
      <c r="H357" s="653">
        <v>0.354941098442978</v>
      </c>
      <c r="I357" s="653">
        <v>0.18315541799576801</v>
      </c>
      <c r="J357" s="654">
        <v>0.16699302024444901</v>
      </c>
      <c r="K357" s="654">
        <v>0.169140637336955</v>
      </c>
      <c r="L357" s="654">
        <v>6.3370495531061499E-2</v>
      </c>
      <c r="M357" s="654">
        <v>5.5435366200296897E-2</v>
      </c>
      <c r="N357" s="743"/>
      <c r="O357" s="623"/>
      <c r="P357" s="652"/>
      <c r="Q357" s="655"/>
      <c r="R357" s="653"/>
      <c r="S357" s="653"/>
      <c r="T357" s="653"/>
      <c r="U357" s="653"/>
      <c r="V357" s="653"/>
      <c r="W357" s="653"/>
      <c r="X357" s="653"/>
      <c r="Y357" s="656"/>
      <c r="Z357" s="657"/>
      <c r="AA357" s="657"/>
      <c r="AB357" s="657"/>
    </row>
    <row r="358" spans="1:28">
      <c r="A358" s="643" t="s">
        <v>56</v>
      </c>
      <c r="B358" s="1067">
        <v>359382</v>
      </c>
      <c r="C358" s="644">
        <v>76031</v>
      </c>
      <c r="D358" s="644">
        <v>74631</v>
      </c>
      <c r="E358" s="644">
        <v>31383</v>
      </c>
      <c r="F358" s="645" t="s">
        <v>68</v>
      </c>
      <c r="G358" s="644">
        <v>20888</v>
      </c>
      <c r="H358" s="644">
        <v>67577</v>
      </c>
      <c r="I358" s="644">
        <v>35215</v>
      </c>
      <c r="J358" s="646">
        <v>18538</v>
      </c>
      <c r="K358" s="647">
        <v>29527</v>
      </c>
      <c r="L358" s="647">
        <v>11734</v>
      </c>
      <c r="M358" s="647">
        <v>9724</v>
      </c>
      <c r="N358" s="646"/>
      <c r="O358" s="623"/>
      <c r="P358" s="643" t="s">
        <v>56</v>
      </c>
      <c r="Q358" s="651">
        <v>8.7793008309885401E-2</v>
      </c>
      <c r="R358" s="649">
        <v>0.34550380765740302</v>
      </c>
      <c r="S358" s="649">
        <v>0.33870643566346398</v>
      </c>
      <c r="T358" s="649">
        <v>0.541630819233343</v>
      </c>
      <c r="U358" s="645" t="s">
        <v>68</v>
      </c>
      <c r="V358" s="649">
        <v>0.529299119111452</v>
      </c>
      <c r="W358" s="649">
        <v>0.34388919306864801</v>
      </c>
      <c r="X358" s="649">
        <v>0.45668039187846099</v>
      </c>
      <c r="Y358" s="650">
        <v>0.55065271334555999</v>
      </c>
      <c r="Z358" s="651">
        <v>0.55051308971449897</v>
      </c>
      <c r="AA358" s="651">
        <v>0.68246122379410301</v>
      </c>
      <c r="AB358" s="651">
        <v>0.70176881941587799</v>
      </c>
    </row>
    <row r="359" spans="1:28">
      <c r="A359" s="652"/>
      <c r="B359" s="1066"/>
      <c r="C359" s="653">
        <v>0.211560400910452</v>
      </c>
      <c r="D359" s="653">
        <v>0.20766482461558999</v>
      </c>
      <c r="E359" s="653">
        <v>8.7324907758318401E-2</v>
      </c>
      <c r="F359" s="653"/>
      <c r="G359" s="653">
        <v>5.81219983193371E-2</v>
      </c>
      <c r="H359" s="653">
        <v>0.18803668519847999</v>
      </c>
      <c r="I359" s="653">
        <v>9.7987656588254299E-2</v>
      </c>
      <c r="J359" s="654">
        <v>5.1582995252961998E-2</v>
      </c>
      <c r="K359" s="654">
        <v>8.2160486613130301E-2</v>
      </c>
      <c r="L359" s="654">
        <v>3.2650494459934003E-2</v>
      </c>
      <c r="M359" s="654">
        <v>2.7057559922311101E-2</v>
      </c>
      <c r="N359" s="743"/>
      <c r="O359" s="623"/>
      <c r="P359" s="652"/>
      <c r="Q359" s="655"/>
      <c r="R359" s="653"/>
      <c r="S359" s="653"/>
      <c r="T359" s="653"/>
      <c r="U359" s="653"/>
      <c r="V359" s="653"/>
      <c r="W359" s="653"/>
      <c r="X359" s="653"/>
      <c r="Y359" s="656"/>
      <c r="Z359" s="657"/>
      <c r="AA359" s="657"/>
      <c r="AB359" s="657"/>
    </row>
    <row r="360" spans="1:28">
      <c r="A360" s="643" t="s">
        <v>344</v>
      </c>
      <c r="B360" s="1067">
        <v>121942</v>
      </c>
      <c r="C360" s="644">
        <v>22091</v>
      </c>
      <c r="D360" s="644">
        <v>21920</v>
      </c>
      <c r="E360" s="644">
        <v>7278</v>
      </c>
      <c r="F360" s="644">
        <v>8555</v>
      </c>
      <c r="G360" s="645" t="s">
        <v>68</v>
      </c>
      <c r="H360" s="644">
        <v>19725</v>
      </c>
      <c r="I360" s="644">
        <v>10810</v>
      </c>
      <c r="J360" s="646">
        <v>3941</v>
      </c>
      <c r="K360" s="647">
        <v>4183</v>
      </c>
      <c r="L360" s="647">
        <v>4183</v>
      </c>
      <c r="M360" s="647">
        <v>3136</v>
      </c>
      <c r="N360" s="646"/>
      <c r="O360" s="623"/>
      <c r="P360" s="643" t="s">
        <v>344</v>
      </c>
      <c r="Q360" s="651">
        <v>5.7406213856246099E-2</v>
      </c>
      <c r="R360" s="649">
        <v>0.21189624734054599</v>
      </c>
      <c r="S360" s="649">
        <v>0.209945255474453</v>
      </c>
      <c r="T360" s="649">
        <v>0.388156086837043</v>
      </c>
      <c r="U360" s="649">
        <v>0.30660432495616602</v>
      </c>
      <c r="V360" s="645" t="s">
        <v>68</v>
      </c>
      <c r="W360" s="649">
        <v>0.20958174904943</v>
      </c>
      <c r="X360" s="649">
        <v>0.25346901017576301</v>
      </c>
      <c r="Y360" s="650">
        <v>0.42781020045673701</v>
      </c>
      <c r="Z360" s="651">
        <v>0.44131006454697602</v>
      </c>
      <c r="AA360" s="651">
        <v>0.44131006454697602</v>
      </c>
      <c r="AB360" s="651">
        <v>0.46428571428571402</v>
      </c>
    </row>
    <row r="361" spans="1:28">
      <c r="A361" s="652"/>
      <c r="B361" s="1066"/>
      <c r="C361" s="653">
        <v>0.181159895688114</v>
      </c>
      <c r="D361" s="653">
        <v>0.179757589673779</v>
      </c>
      <c r="E361" s="653">
        <v>5.9684112118876198E-2</v>
      </c>
      <c r="F361" s="653">
        <v>7.0156303816568497E-2</v>
      </c>
      <c r="G361" s="653"/>
      <c r="H361" s="653">
        <v>0.16175722884650101</v>
      </c>
      <c r="I361" s="653">
        <v>8.8648701841859204E-2</v>
      </c>
      <c r="J361" s="654">
        <v>3.2318643289432701E-2</v>
      </c>
      <c r="K361" s="654">
        <v>3.4303193321415099E-2</v>
      </c>
      <c r="L361" s="654">
        <v>3.4303193321415099E-2</v>
      </c>
      <c r="M361" s="654">
        <v>2.5717144216102699E-2</v>
      </c>
      <c r="N361" s="743"/>
      <c r="O361" s="623"/>
      <c r="P361" s="652"/>
      <c r="Q361" s="655"/>
      <c r="R361" s="653"/>
      <c r="S361" s="653"/>
      <c r="T361" s="653"/>
      <c r="U361" s="653"/>
      <c r="V361" s="659"/>
      <c r="W361" s="653"/>
      <c r="X361" s="653"/>
      <c r="Y361" s="656"/>
      <c r="Z361" s="657"/>
      <c r="AA361" s="657"/>
      <c r="AB361" s="657"/>
    </row>
    <row r="362" spans="1:28">
      <c r="A362" s="643" t="s">
        <v>347</v>
      </c>
      <c r="B362" s="1067">
        <v>202776</v>
      </c>
      <c r="C362" s="644">
        <v>79686</v>
      </c>
      <c r="D362" s="644">
        <v>68854</v>
      </c>
      <c r="E362" s="644">
        <v>60421</v>
      </c>
      <c r="F362" s="644">
        <v>37645</v>
      </c>
      <c r="G362" s="644">
        <v>18859</v>
      </c>
      <c r="H362" s="658" t="s">
        <v>68</v>
      </c>
      <c r="I362" s="644">
        <v>32984</v>
      </c>
      <c r="J362" s="646">
        <v>50440</v>
      </c>
      <c r="K362" s="647">
        <v>33683</v>
      </c>
      <c r="L362" s="647">
        <v>15029</v>
      </c>
      <c r="M362" s="647">
        <v>12307</v>
      </c>
      <c r="N362" s="646"/>
      <c r="O362" s="623"/>
      <c r="P362" s="643" t="s">
        <v>347</v>
      </c>
      <c r="Q362" s="651">
        <v>0.24078886044269701</v>
      </c>
      <c r="R362" s="649">
        <v>0.70102652912682295</v>
      </c>
      <c r="S362" s="649">
        <v>0.74518546489673798</v>
      </c>
      <c r="T362" s="649">
        <v>0.79773588652951799</v>
      </c>
      <c r="U362" s="649">
        <v>0.799521848851109</v>
      </c>
      <c r="V362" s="649">
        <v>0.85704438199268296</v>
      </c>
      <c r="W362" s="658" t="s">
        <v>68</v>
      </c>
      <c r="X362" s="649">
        <v>0.76261217560029104</v>
      </c>
      <c r="Y362" s="650">
        <v>0.74026566217287904</v>
      </c>
      <c r="Z362" s="651">
        <v>0.84526318914585996</v>
      </c>
      <c r="AA362" s="651">
        <v>0.88595382260962097</v>
      </c>
      <c r="AB362" s="651">
        <v>0.88981880230763</v>
      </c>
    </row>
    <row r="363" spans="1:28">
      <c r="A363" s="652"/>
      <c r="B363" s="1077"/>
      <c r="C363" s="653">
        <v>0.39297550005917897</v>
      </c>
      <c r="D363" s="653">
        <v>0.33955694954038002</v>
      </c>
      <c r="E363" s="653">
        <v>0.29796918767507002</v>
      </c>
      <c r="F363" s="653">
        <v>0.18564820294314899</v>
      </c>
      <c r="G363" s="653">
        <v>9.3004103049670606E-2</v>
      </c>
      <c r="H363" s="653"/>
      <c r="I363" s="653">
        <v>0.162662247997791</v>
      </c>
      <c r="J363" s="654">
        <v>0.248747386278455</v>
      </c>
      <c r="K363" s="654">
        <v>0.16610940150708201</v>
      </c>
      <c r="L363" s="654">
        <v>7.4116266224799804E-2</v>
      </c>
      <c r="M363" s="654">
        <v>6.0692586893912499E-2</v>
      </c>
      <c r="N363" s="743"/>
      <c r="O363" s="623"/>
      <c r="P363" s="652"/>
      <c r="Q363" s="661"/>
      <c r="R363" s="653"/>
      <c r="S363" s="653"/>
      <c r="T363" s="653"/>
      <c r="U363" s="653"/>
      <c r="V363" s="653"/>
      <c r="W363" s="738"/>
      <c r="X363" s="653"/>
      <c r="Y363" s="656"/>
      <c r="Z363" s="657"/>
      <c r="AA363" s="657"/>
      <c r="AB363" s="657"/>
    </row>
    <row r="364" spans="1:28">
      <c r="A364" s="643" t="s">
        <v>122</v>
      </c>
      <c r="B364" s="1067">
        <v>93172</v>
      </c>
      <c r="C364" s="644">
        <v>5347</v>
      </c>
      <c r="D364" s="644">
        <v>5258</v>
      </c>
      <c r="E364" s="644">
        <v>2018</v>
      </c>
      <c r="F364" s="644">
        <v>1068</v>
      </c>
      <c r="G364" s="644">
        <v>456</v>
      </c>
      <c r="H364" s="644">
        <v>4523</v>
      </c>
      <c r="I364" s="658" t="s">
        <v>68</v>
      </c>
      <c r="J364" s="646">
        <v>701</v>
      </c>
      <c r="K364" s="647">
        <v>581</v>
      </c>
      <c r="L364" s="647">
        <v>233</v>
      </c>
      <c r="M364" s="647">
        <v>233</v>
      </c>
      <c r="N364" s="646"/>
      <c r="O364" s="623"/>
      <c r="P364" s="643" t="s">
        <v>122</v>
      </c>
      <c r="Q364" s="651">
        <v>4.4442972579149601E-2</v>
      </c>
      <c r="R364" s="649">
        <v>0.40302973630072902</v>
      </c>
      <c r="S364" s="649">
        <v>0.40395587675922401</v>
      </c>
      <c r="T364" s="649">
        <v>0.74777006937561896</v>
      </c>
      <c r="U364" s="649">
        <v>0.63857677902621701</v>
      </c>
      <c r="V364" s="649">
        <v>0.82894736842105299</v>
      </c>
      <c r="W364" s="649">
        <v>0.390006632765863</v>
      </c>
      <c r="X364" s="658" t="s">
        <v>68</v>
      </c>
      <c r="Y364" s="650">
        <v>0.72467902995720401</v>
      </c>
      <c r="Z364" s="651">
        <v>0.85197934595525004</v>
      </c>
      <c r="AA364" s="651">
        <v>0.92703862660944203</v>
      </c>
      <c r="AB364" s="651">
        <v>0.92703862660944203</v>
      </c>
    </row>
    <row r="365" spans="1:28">
      <c r="A365" s="662"/>
      <c r="B365" s="1078"/>
      <c r="C365" s="663">
        <v>5.7388485811187898E-2</v>
      </c>
      <c r="D365" s="664">
        <v>5.6433263212123802E-2</v>
      </c>
      <c r="E365" s="664">
        <v>2.1658867470914001E-2</v>
      </c>
      <c r="F365" s="664">
        <v>1.1462671188769201E-2</v>
      </c>
      <c r="G365" s="664">
        <v>4.8941742154295304E-3</v>
      </c>
      <c r="H365" s="664">
        <v>4.8544627141201203E-2</v>
      </c>
      <c r="I365" s="664"/>
      <c r="J365" s="665">
        <v>7.5237195724037302E-3</v>
      </c>
      <c r="K365" s="666">
        <v>6.2357789893959601E-3</v>
      </c>
      <c r="L365" s="666">
        <v>2.50075129867342E-3</v>
      </c>
      <c r="M365" s="666">
        <v>2.50075129867342E-3</v>
      </c>
      <c r="N365" s="743"/>
      <c r="O365" s="623"/>
      <c r="P365" s="662"/>
      <c r="Q365" s="667"/>
      <c r="R365" s="664"/>
      <c r="S365" s="664"/>
      <c r="T365" s="664"/>
      <c r="U365" s="664"/>
      <c r="V365" s="664"/>
      <c r="W365" s="664"/>
      <c r="X365" s="664"/>
      <c r="Y365" s="665"/>
      <c r="Z365" s="666"/>
      <c r="AA365" s="666"/>
      <c r="AB365" s="666"/>
    </row>
    <row r="366" spans="1:28">
      <c r="A366" s="668" t="s">
        <v>348</v>
      </c>
      <c r="B366" s="744">
        <v>903924</v>
      </c>
      <c r="C366" s="670">
        <v>233536</v>
      </c>
      <c r="D366" s="670">
        <v>219297</v>
      </c>
      <c r="E366" s="670">
        <v>101100</v>
      </c>
      <c r="F366" s="670">
        <v>70291</v>
      </c>
      <c r="G366" s="670">
        <v>50115</v>
      </c>
      <c r="H366" s="670">
        <v>136779</v>
      </c>
      <c r="I366" s="670">
        <v>102206</v>
      </c>
      <c r="J366" s="671">
        <v>94770</v>
      </c>
      <c r="K366" s="672">
        <v>89396</v>
      </c>
      <c r="L366" s="672">
        <v>39205</v>
      </c>
      <c r="M366" s="672">
        <v>32421</v>
      </c>
      <c r="N366" s="671"/>
      <c r="O366" s="623"/>
      <c r="P366" s="668" t="s">
        <v>348</v>
      </c>
      <c r="Q366" s="673">
        <v>0.163009235495335</v>
      </c>
      <c r="R366" s="674">
        <v>0.52681385311044104</v>
      </c>
      <c r="S366" s="674">
        <v>0.53062741396371105</v>
      </c>
      <c r="T366" s="674">
        <v>0.687754698318497</v>
      </c>
      <c r="U366" s="674">
        <v>0.74066381186780705</v>
      </c>
      <c r="V366" s="674">
        <v>0.72164022747680301</v>
      </c>
      <c r="W366" s="674">
        <v>0.43852491976107399</v>
      </c>
      <c r="X366" s="674">
        <v>0.61124591511261595</v>
      </c>
      <c r="Y366" s="675">
        <v>0.70919067215363496</v>
      </c>
      <c r="Z366" s="673">
        <v>0.72280638954763099</v>
      </c>
      <c r="AA366" s="673">
        <v>0.77837010585384503</v>
      </c>
      <c r="AB366" s="673">
        <v>0.79355972980475598</v>
      </c>
    </row>
    <row r="367" spans="1:28">
      <c r="A367" s="676" t="s">
        <v>349</v>
      </c>
      <c r="B367" s="677"/>
      <c r="C367" s="682">
        <v>0.25835800354897098</v>
      </c>
      <c r="D367" s="682">
        <v>0.24260557303490099</v>
      </c>
      <c r="E367" s="682">
        <v>0.111845686141755</v>
      </c>
      <c r="F367" s="682">
        <v>7.7762068492483905E-2</v>
      </c>
      <c r="G367" s="682">
        <v>5.5441607922790001E-2</v>
      </c>
      <c r="H367" s="682">
        <v>0.151316924874215</v>
      </c>
      <c r="I367" s="682">
        <v>0.113069240334364</v>
      </c>
      <c r="J367" s="683">
        <v>0.10484288502130699</v>
      </c>
      <c r="K367" s="684">
        <v>9.8897694938955005E-2</v>
      </c>
      <c r="L367" s="684">
        <v>4.3372009151211803E-2</v>
      </c>
      <c r="M367" s="684">
        <v>3.5866953416437697E-2</v>
      </c>
      <c r="N367" s="706"/>
      <c r="O367" s="623"/>
      <c r="P367" s="676" t="s">
        <v>349</v>
      </c>
      <c r="Q367" s="681"/>
      <c r="R367" s="682"/>
      <c r="S367" s="682"/>
      <c r="T367" s="682"/>
      <c r="U367" s="682"/>
      <c r="V367" s="682"/>
      <c r="W367" s="682"/>
      <c r="X367" s="682"/>
      <c r="Y367" s="683"/>
      <c r="Z367" s="684"/>
      <c r="AA367" s="684"/>
      <c r="AB367" s="684"/>
    </row>
    <row r="368" spans="1:28">
      <c r="A368" s="643" t="s">
        <v>51</v>
      </c>
      <c r="B368" s="1067">
        <v>50285</v>
      </c>
      <c r="C368" s="644">
        <v>14885</v>
      </c>
      <c r="D368" s="644">
        <v>14885</v>
      </c>
      <c r="E368" s="644">
        <v>4447</v>
      </c>
      <c r="F368" s="644">
        <v>2883</v>
      </c>
      <c r="G368" s="644">
        <v>1106</v>
      </c>
      <c r="H368" s="644">
        <v>13674</v>
      </c>
      <c r="I368" s="644">
        <v>1817</v>
      </c>
      <c r="J368" s="685" t="s">
        <v>68</v>
      </c>
      <c r="K368" s="686">
        <v>1579</v>
      </c>
      <c r="L368" s="686">
        <v>618</v>
      </c>
      <c r="M368" s="686">
        <v>460</v>
      </c>
      <c r="N368" s="646"/>
      <c r="O368" s="623"/>
      <c r="P368" s="643" t="s">
        <v>51</v>
      </c>
      <c r="Q368" s="651">
        <v>9.0176865164360201E-2</v>
      </c>
      <c r="R368" s="649">
        <v>0.292038965401411</v>
      </c>
      <c r="S368" s="649">
        <v>0.292038965401411</v>
      </c>
      <c r="T368" s="649">
        <v>0.75961322239712203</v>
      </c>
      <c r="U368" s="649">
        <v>0.50502948317724605</v>
      </c>
      <c r="V368" s="649">
        <v>0.67540687160940305</v>
      </c>
      <c r="W368" s="649">
        <v>0.27555945590171099</v>
      </c>
      <c r="X368" s="649">
        <v>0.87176664832140904</v>
      </c>
      <c r="Y368" s="658" t="s">
        <v>68</v>
      </c>
      <c r="Z368" s="651">
        <v>0.79417352754908199</v>
      </c>
      <c r="AA368" s="651">
        <v>0.88349514563106801</v>
      </c>
      <c r="AB368" s="651">
        <v>0.96956521739130397</v>
      </c>
    </row>
    <row r="369" spans="1:28">
      <c r="A369" s="687"/>
      <c r="B369" s="1064"/>
      <c r="C369" s="688">
        <v>0.29601272745351498</v>
      </c>
      <c r="D369" s="688">
        <v>0.29601272745351498</v>
      </c>
      <c r="E369" s="688">
        <v>8.8435915282887495E-2</v>
      </c>
      <c r="F369" s="688">
        <v>5.73332007556926E-2</v>
      </c>
      <c r="G369" s="688">
        <v>2.1994630605548401E-2</v>
      </c>
      <c r="H369" s="688">
        <v>0.271929999005668</v>
      </c>
      <c r="I369" s="688">
        <v>3.6134035994829498E-2</v>
      </c>
      <c r="J369" s="689"/>
      <c r="K369" s="690">
        <v>3.1401014218952E-2</v>
      </c>
      <c r="L369" s="690">
        <v>1.22899473003878E-2</v>
      </c>
      <c r="M369" s="690">
        <v>9.1478572138808806E-3</v>
      </c>
      <c r="N369" s="743"/>
      <c r="O369" s="623"/>
      <c r="P369" s="687"/>
      <c r="Q369" s="642"/>
      <c r="R369" s="688"/>
      <c r="S369" s="688"/>
      <c r="T369" s="688"/>
      <c r="U369" s="688"/>
      <c r="V369" s="688"/>
      <c r="W369" s="688"/>
      <c r="X369" s="688"/>
      <c r="Y369" s="689"/>
      <c r="Z369" s="690"/>
      <c r="AA369" s="690"/>
      <c r="AB369" s="690"/>
    </row>
    <row r="370" spans="1:28">
      <c r="A370" s="668" t="s">
        <v>350</v>
      </c>
      <c r="B370" s="691">
        <v>954209</v>
      </c>
      <c r="C370" s="692">
        <v>248421</v>
      </c>
      <c r="D370" s="693">
        <v>234182</v>
      </c>
      <c r="E370" s="693">
        <v>105547</v>
      </c>
      <c r="F370" s="693">
        <v>73174</v>
      </c>
      <c r="G370" s="693">
        <v>51221</v>
      </c>
      <c r="H370" s="693">
        <v>150453</v>
      </c>
      <c r="I370" s="693">
        <v>104023</v>
      </c>
      <c r="J370" s="694">
        <v>94770</v>
      </c>
      <c r="K370" s="695">
        <v>90975</v>
      </c>
      <c r="L370" s="695">
        <v>39823</v>
      </c>
      <c r="M370" s="695">
        <v>32881</v>
      </c>
      <c r="N370" s="745"/>
      <c r="O370" s="623"/>
      <c r="P370" s="668" t="s">
        <v>350</v>
      </c>
      <c r="Q370" s="696">
        <v>0.15784123413174</v>
      </c>
      <c r="R370" s="697">
        <v>0.51274650693781898</v>
      </c>
      <c r="S370" s="698">
        <v>0.51546233271557995</v>
      </c>
      <c r="T370" s="698">
        <v>0.69078230551318398</v>
      </c>
      <c r="U370" s="698">
        <v>0.73137999836007295</v>
      </c>
      <c r="V370" s="698">
        <v>0.720641924210773</v>
      </c>
      <c r="W370" s="698">
        <v>0.42371371790525902</v>
      </c>
      <c r="X370" s="698">
        <v>0.61579650654182205</v>
      </c>
      <c r="Y370" s="699">
        <v>0.70919067215363496</v>
      </c>
      <c r="Z370" s="700">
        <v>0.72404506732618901</v>
      </c>
      <c r="AA370" s="700">
        <v>0.78000150666700196</v>
      </c>
      <c r="AB370" s="700">
        <v>0.79602201879504897</v>
      </c>
    </row>
    <row r="371" spans="1:28" ht="15.75" thickBot="1">
      <c r="A371" s="701"/>
      <c r="B371" s="740"/>
      <c r="C371" s="703">
        <v>0.26034233590334999</v>
      </c>
      <c r="D371" s="703">
        <v>0.245420028526245</v>
      </c>
      <c r="E371" s="703">
        <v>0.110612035728022</v>
      </c>
      <c r="F371" s="703">
        <v>7.66855060054977E-2</v>
      </c>
      <c r="G371" s="703">
        <v>5.36790158130976E-2</v>
      </c>
      <c r="H371" s="703">
        <v>0.157673004551414</v>
      </c>
      <c r="I371" s="703">
        <v>0.109014901347608</v>
      </c>
      <c r="J371" s="704">
        <v>9.9317864325320804E-2</v>
      </c>
      <c r="K371" s="705">
        <v>9.5340748200865896E-2</v>
      </c>
      <c r="L371" s="705">
        <v>4.1734043590031099E-2</v>
      </c>
      <c r="M371" s="705">
        <v>3.4458907849328597E-2</v>
      </c>
      <c r="N371" s="706"/>
      <c r="O371" s="623"/>
      <c r="P371" s="701"/>
      <c r="Q371" s="702"/>
      <c r="R371" s="703"/>
      <c r="S371" s="703"/>
      <c r="T371" s="703"/>
      <c r="U371" s="703"/>
      <c r="V371" s="703"/>
      <c r="W371" s="703"/>
      <c r="X371" s="703"/>
      <c r="Y371" s="704"/>
      <c r="Z371" s="705"/>
      <c r="AA371" s="705"/>
      <c r="AB371" s="705"/>
    </row>
    <row r="372" spans="1:28">
      <c r="A372" s="623"/>
      <c r="B372" s="964"/>
      <c r="C372" s="623"/>
      <c r="D372" s="623"/>
      <c r="E372" s="623"/>
      <c r="F372" s="623"/>
      <c r="G372" s="623"/>
      <c r="H372" s="965"/>
      <c r="I372" s="965"/>
      <c r="J372" s="965"/>
      <c r="K372" s="965"/>
      <c r="L372" s="965"/>
      <c r="M372" s="965"/>
      <c r="N372" s="623"/>
      <c r="O372" s="623"/>
      <c r="P372" s="623"/>
      <c r="Q372" s="623"/>
      <c r="R372" s="623"/>
      <c r="S372" s="623"/>
      <c r="T372" s="623"/>
      <c r="U372" s="623"/>
      <c r="V372" s="965"/>
      <c r="W372" s="965"/>
      <c r="X372" s="965"/>
      <c r="Y372" s="965"/>
      <c r="Z372" s="965"/>
      <c r="AA372" s="965"/>
      <c r="AB372" s="965"/>
    </row>
    <row r="373" spans="1:28">
      <c r="A373" s="623"/>
      <c r="B373" s="964"/>
      <c r="C373" s="627"/>
      <c r="D373" s="627"/>
      <c r="E373" s="627"/>
      <c r="F373" s="627"/>
      <c r="G373" s="965"/>
      <c r="H373" s="965"/>
      <c r="I373" s="965"/>
      <c r="J373" s="965"/>
      <c r="K373" s="965"/>
      <c r="L373" s="965"/>
      <c r="M373" s="965"/>
      <c r="N373" s="965"/>
      <c r="O373" s="627"/>
      <c r="P373" s="623" t="s">
        <v>355</v>
      </c>
      <c r="Q373" s="623" t="s">
        <v>356</v>
      </c>
      <c r="R373" s="627"/>
      <c r="S373" s="627"/>
      <c r="T373" s="627"/>
      <c r="U373" s="627"/>
      <c r="V373" s="965"/>
      <c r="W373" s="965"/>
      <c r="X373" s="965"/>
      <c r="Y373" s="965"/>
      <c r="Z373" s="965"/>
      <c r="AA373" s="965"/>
      <c r="AB373" s="965"/>
    </row>
    <row r="374" spans="1:28">
      <c r="A374" s="625" t="s">
        <v>324</v>
      </c>
      <c r="B374" s="626"/>
      <c r="C374" s="625">
        <v>2004</v>
      </c>
      <c r="D374" s="623"/>
      <c r="E374" s="623"/>
      <c r="F374" s="623"/>
      <c r="G374" s="623"/>
      <c r="H374" s="623"/>
      <c r="I374" s="623"/>
      <c r="J374" s="623"/>
      <c r="K374" s="623"/>
      <c r="L374" s="623"/>
      <c r="M374" s="623"/>
      <c r="N374" s="623"/>
      <c r="O374" s="623"/>
      <c r="P374" s="625" t="s">
        <v>324</v>
      </c>
      <c r="Q374" s="625"/>
      <c r="R374" s="625">
        <v>2004</v>
      </c>
      <c r="S374" s="623"/>
      <c r="T374" s="623"/>
      <c r="U374" s="623"/>
      <c r="V374" s="627"/>
      <c r="W374" s="627"/>
      <c r="X374" s="627"/>
      <c r="Y374" s="627"/>
      <c r="Z374" s="627"/>
      <c r="AA374" s="627"/>
      <c r="AB374" s="627"/>
    </row>
    <row r="375" spans="1:28" ht="15.75" thickBot="1">
      <c r="A375" s="623"/>
      <c r="B375" s="964"/>
      <c r="C375" s="623"/>
      <c r="D375" s="623"/>
      <c r="E375" s="623"/>
      <c r="F375" s="623"/>
      <c r="G375" s="627"/>
      <c r="H375" s="627"/>
      <c r="I375" s="627"/>
      <c r="J375" s="627"/>
      <c r="K375" s="627"/>
      <c r="L375" s="627"/>
      <c r="M375" s="627"/>
      <c r="N375" s="627"/>
      <c r="O375" s="623"/>
      <c r="P375" s="623"/>
      <c r="Q375" s="623"/>
      <c r="R375" s="623"/>
      <c r="S375" s="623"/>
      <c r="T375" s="623"/>
      <c r="U375" s="623"/>
      <c r="V375" s="627"/>
      <c r="W375" s="627"/>
      <c r="X375" s="627"/>
      <c r="Y375" s="627"/>
      <c r="Z375" s="627"/>
      <c r="AA375" s="627"/>
      <c r="AB375" s="627"/>
    </row>
    <row r="376" spans="1:28">
      <c r="A376" s="629" t="s">
        <v>325</v>
      </c>
      <c r="B376" s="630" t="s">
        <v>326</v>
      </c>
      <c r="C376" s="631"/>
      <c r="D376" s="631"/>
      <c r="E376" s="631" t="s">
        <v>327</v>
      </c>
      <c r="F376" s="631"/>
      <c r="G376" s="631"/>
      <c r="H376" s="631"/>
      <c r="I376" s="631"/>
      <c r="J376" s="631"/>
      <c r="K376" s="629" t="s">
        <v>328</v>
      </c>
      <c r="L376" s="629" t="s">
        <v>329</v>
      </c>
      <c r="M376" s="629" t="s">
        <v>330</v>
      </c>
      <c r="N376" s="741"/>
      <c r="O376" s="623"/>
      <c r="P376" s="629" t="s">
        <v>325</v>
      </c>
      <c r="Q376" s="632" t="s">
        <v>326</v>
      </c>
      <c r="R376" s="631"/>
      <c r="S376" s="631"/>
      <c r="T376" s="631" t="s">
        <v>331</v>
      </c>
      <c r="U376" s="631"/>
      <c r="V376" s="631"/>
      <c r="W376" s="631"/>
      <c r="X376" s="631"/>
      <c r="Y376" s="631"/>
      <c r="Z376" s="629" t="s">
        <v>328</v>
      </c>
      <c r="AA376" s="629" t="s">
        <v>329</v>
      </c>
      <c r="AB376" s="629" t="s">
        <v>330</v>
      </c>
    </row>
    <row r="377" spans="1:28">
      <c r="A377" s="633" t="s">
        <v>332</v>
      </c>
      <c r="B377" s="1063" t="s">
        <v>333</v>
      </c>
      <c r="C377" s="634"/>
      <c r="D377" s="634"/>
      <c r="E377" s="634" t="s">
        <v>334</v>
      </c>
      <c r="F377" s="634"/>
      <c r="G377" s="634"/>
      <c r="H377" s="634"/>
      <c r="I377" s="634"/>
      <c r="J377" s="634"/>
      <c r="K377" s="635" t="s">
        <v>335</v>
      </c>
      <c r="L377" s="635" t="s">
        <v>335</v>
      </c>
      <c r="M377" s="635" t="s">
        <v>335</v>
      </c>
      <c r="N377" s="741"/>
      <c r="O377" s="623"/>
      <c r="P377" s="633" t="s">
        <v>332</v>
      </c>
      <c r="Q377" s="636" t="s">
        <v>333</v>
      </c>
      <c r="R377" s="634"/>
      <c r="S377" s="634"/>
      <c r="T377" s="634" t="s">
        <v>336</v>
      </c>
      <c r="U377" s="634"/>
      <c r="V377" s="634"/>
      <c r="W377" s="634"/>
      <c r="X377" s="634"/>
      <c r="Y377" s="634"/>
      <c r="Z377" s="635" t="s">
        <v>335</v>
      </c>
      <c r="AA377" s="635" t="s">
        <v>335</v>
      </c>
      <c r="AB377" s="635" t="s">
        <v>335</v>
      </c>
    </row>
    <row r="378" spans="1:28">
      <c r="A378" s="633" t="s">
        <v>337</v>
      </c>
      <c r="B378" s="1063" t="s">
        <v>53</v>
      </c>
      <c r="C378" s="637" t="s">
        <v>338</v>
      </c>
      <c r="D378" s="637" t="s">
        <v>339</v>
      </c>
      <c r="E378" s="637"/>
      <c r="F378" s="637"/>
      <c r="G378" s="637"/>
      <c r="H378" s="637"/>
      <c r="I378" s="637"/>
      <c r="J378" s="638" t="s">
        <v>164</v>
      </c>
      <c r="K378" s="633" t="s">
        <v>340</v>
      </c>
      <c r="L378" s="633" t="s">
        <v>341</v>
      </c>
      <c r="M378" s="633" t="s">
        <v>341</v>
      </c>
      <c r="N378" s="742"/>
      <c r="O378" s="623"/>
      <c r="P378" s="633" t="s">
        <v>337</v>
      </c>
      <c r="Q378" s="636" t="s">
        <v>53</v>
      </c>
      <c r="R378" s="637" t="s">
        <v>338</v>
      </c>
      <c r="S378" s="637" t="s">
        <v>339</v>
      </c>
      <c r="T378" s="637"/>
      <c r="U378" s="637"/>
      <c r="V378" s="637"/>
      <c r="W378" s="637"/>
      <c r="X378" s="637"/>
      <c r="Y378" s="638" t="s">
        <v>164</v>
      </c>
      <c r="Z378" s="633" t="s">
        <v>340</v>
      </c>
      <c r="AA378" s="633" t="s">
        <v>341</v>
      </c>
      <c r="AB378" s="633" t="s">
        <v>341</v>
      </c>
    </row>
    <row r="379" spans="1:28">
      <c r="A379" s="639"/>
      <c r="B379" s="1064"/>
      <c r="C379" s="640" t="s">
        <v>342</v>
      </c>
      <c r="D379" s="640" t="s">
        <v>343</v>
      </c>
      <c r="E379" s="640" t="s">
        <v>127</v>
      </c>
      <c r="F379" s="640" t="s">
        <v>56</v>
      </c>
      <c r="G379" s="640" t="s">
        <v>344</v>
      </c>
      <c r="H379" s="640" t="s">
        <v>345</v>
      </c>
      <c r="I379" s="640" t="s">
        <v>122</v>
      </c>
      <c r="J379" s="634" t="s">
        <v>346</v>
      </c>
      <c r="K379" s="641" t="s">
        <v>361</v>
      </c>
      <c r="L379" s="641" t="s">
        <v>362</v>
      </c>
      <c r="M379" s="641" t="s">
        <v>363</v>
      </c>
      <c r="N379" s="741"/>
      <c r="O379" s="623"/>
      <c r="P379" s="639"/>
      <c r="Q379" s="642"/>
      <c r="R379" s="640" t="s">
        <v>342</v>
      </c>
      <c r="S379" s="640" t="s">
        <v>343</v>
      </c>
      <c r="T379" s="640" t="s">
        <v>127</v>
      </c>
      <c r="U379" s="640" t="s">
        <v>56</v>
      </c>
      <c r="V379" s="640" t="s">
        <v>344</v>
      </c>
      <c r="W379" s="640" t="s">
        <v>345</v>
      </c>
      <c r="X379" s="640" t="s">
        <v>122</v>
      </c>
      <c r="Y379" s="634" t="s">
        <v>346</v>
      </c>
      <c r="Z379" s="641" t="s">
        <v>361</v>
      </c>
      <c r="AA379" s="641" t="s">
        <v>362</v>
      </c>
      <c r="AB379" s="641" t="s">
        <v>363</v>
      </c>
    </row>
    <row r="380" spans="1:28">
      <c r="A380" s="643" t="s">
        <v>127</v>
      </c>
      <c r="B380" s="1065">
        <v>127112</v>
      </c>
      <c r="C380" s="644">
        <v>50475</v>
      </c>
      <c r="D380" s="644">
        <v>48823</v>
      </c>
      <c r="E380" s="645" t="s">
        <v>68</v>
      </c>
      <c r="F380" s="644">
        <v>23072</v>
      </c>
      <c r="G380" s="644">
        <v>9523</v>
      </c>
      <c r="H380" s="644">
        <v>45119</v>
      </c>
      <c r="I380" s="644">
        <v>22004</v>
      </c>
      <c r="J380" s="646">
        <v>20330</v>
      </c>
      <c r="K380" s="647">
        <v>21405</v>
      </c>
      <c r="L380" s="647">
        <v>7851</v>
      </c>
      <c r="M380" s="647">
        <v>6841</v>
      </c>
      <c r="N380" s="646"/>
      <c r="O380" s="623"/>
      <c r="P380" s="643" t="s">
        <v>127</v>
      </c>
      <c r="Q380" s="648">
        <v>0.33657242532160803</v>
      </c>
      <c r="R380" s="649">
        <v>0.65143140168400204</v>
      </c>
      <c r="S380" s="649">
        <v>0.65321672162710198</v>
      </c>
      <c r="T380" s="645" t="s">
        <v>68</v>
      </c>
      <c r="U380" s="649">
        <v>0.78991851595006901</v>
      </c>
      <c r="V380" s="649">
        <v>0.84752703979838295</v>
      </c>
      <c r="W380" s="649">
        <v>0.659034996343004</v>
      </c>
      <c r="X380" s="649">
        <v>0.78244864570078199</v>
      </c>
      <c r="Y380" s="650">
        <v>0.80747663551401905</v>
      </c>
      <c r="Z380" s="651">
        <v>0.79803784162578795</v>
      </c>
      <c r="AA380" s="651">
        <v>0.86689593682333499</v>
      </c>
      <c r="AB380" s="651">
        <v>0.87443356234468606</v>
      </c>
    </row>
    <row r="381" spans="1:28">
      <c r="A381" s="652"/>
      <c r="B381" s="1066"/>
      <c r="C381" s="653">
        <v>0.39709075461010801</v>
      </c>
      <c r="D381" s="653">
        <v>0.384094341997608</v>
      </c>
      <c r="E381" s="653"/>
      <c r="F381" s="653">
        <v>0.18150922021524299</v>
      </c>
      <c r="G381" s="653">
        <v>7.4918182390332905E-2</v>
      </c>
      <c r="H381" s="653">
        <v>0.35495468563156901</v>
      </c>
      <c r="I381" s="653">
        <v>0.17310718106866399</v>
      </c>
      <c r="J381" s="654">
        <v>0.159937692743407</v>
      </c>
      <c r="K381" s="654">
        <v>0.168394801434955</v>
      </c>
      <c r="L381" s="654">
        <v>6.1764428220781702E-2</v>
      </c>
      <c r="M381" s="654">
        <v>5.3818679589653202E-2</v>
      </c>
      <c r="N381" s="743"/>
      <c r="O381" s="623"/>
      <c r="P381" s="652"/>
      <c r="Q381" s="655"/>
      <c r="R381" s="653"/>
      <c r="S381" s="653"/>
      <c r="T381" s="653"/>
      <c r="U381" s="653"/>
      <c r="V381" s="653"/>
      <c r="W381" s="653"/>
      <c r="X381" s="653"/>
      <c r="Y381" s="656"/>
      <c r="Z381" s="657"/>
      <c r="AA381" s="657"/>
      <c r="AB381" s="657"/>
    </row>
    <row r="382" spans="1:28">
      <c r="A382" s="643" t="s">
        <v>56</v>
      </c>
      <c r="B382" s="1067">
        <v>362342</v>
      </c>
      <c r="C382" s="644">
        <v>75416</v>
      </c>
      <c r="D382" s="644">
        <v>74297</v>
      </c>
      <c r="E382" s="644">
        <v>33411</v>
      </c>
      <c r="F382" s="645" t="s">
        <v>68</v>
      </c>
      <c r="G382" s="644">
        <v>21087</v>
      </c>
      <c r="H382" s="644">
        <v>67539</v>
      </c>
      <c r="I382" s="644">
        <v>35919</v>
      </c>
      <c r="J382" s="646">
        <v>19204</v>
      </c>
      <c r="K382" s="647">
        <v>31659</v>
      </c>
      <c r="L382" s="647">
        <v>12012</v>
      </c>
      <c r="M382" s="647">
        <v>9747</v>
      </c>
      <c r="N382" s="646"/>
      <c r="O382" s="623"/>
      <c r="P382" s="643" t="s">
        <v>56</v>
      </c>
      <c r="Q382" s="651">
        <v>8.2226601469933103E-2</v>
      </c>
      <c r="R382" s="649">
        <v>0.334385276333934</v>
      </c>
      <c r="S382" s="649">
        <v>0.32865391603967897</v>
      </c>
      <c r="T382" s="649">
        <v>0.51294483852623396</v>
      </c>
      <c r="U382" s="645" t="s">
        <v>68</v>
      </c>
      <c r="V382" s="649">
        <v>0.49281547873097198</v>
      </c>
      <c r="W382" s="649">
        <v>0.33300759561142501</v>
      </c>
      <c r="X382" s="649">
        <v>0.41897046131573801</v>
      </c>
      <c r="Y382" s="650">
        <v>0.53546136221620499</v>
      </c>
      <c r="Z382" s="651">
        <v>0.51663034208281999</v>
      </c>
      <c r="AA382" s="651">
        <v>0.64685314685314699</v>
      </c>
      <c r="AB382" s="651">
        <v>0.643377449471632</v>
      </c>
    </row>
    <row r="383" spans="1:28">
      <c r="A383" s="652"/>
      <c r="B383" s="1066"/>
      <c r="C383" s="653">
        <v>0.20813485602000301</v>
      </c>
      <c r="D383" s="653">
        <v>0.20504661342047001</v>
      </c>
      <c r="E383" s="653">
        <v>9.2208466034851097E-2</v>
      </c>
      <c r="F383" s="653"/>
      <c r="G383" s="653">
        <v>5.8196400086106499E-2</v>
      </c>
      <c r="H383" s="653">
        <v>0.18639572558522099</v>
      </c>
      <c r="I383" s="653">
        <v>9.9130103603777595E-2</v>
      </c>
      <c r="J383" s="654">
        <v>5.2999652262227401E-2</v>
      </c>
      <c r="K383" s="654">
        <v>8.7373255101533903E-2</v>
      </c>
      <c r="L383" s="654">
        <v>3.31510009880168E-2</v>
      </c>
      <c r="M383" s="654">
        <v>2.69000005519647E-2</v>
      </c>
      <c r="N383" s="743"/>
      <c r="O383" s="623"/>
      <c r="P383" s="652"/>
      <c r="Q383" s="655"/>
      <c r="R383" s="653"/>
      <c r="S383" s="653"/>
      <c r="T383" s="653"/>
      <c r="U383" s="653"/>
      <c r="V383" s="653"/>
      <c r="W383" s="653"/>
      <c r="X383" s="653"/>
      <c r="Y383" s="656"/>
      <c r="Z383" s="657"/>
      <c r="AA383" s="657"/>
      <c r="AB383" s="657"/>
    </row>
    <row r="384" spans="1:28">
      <c r="A384" s="643" t="s">
        <v>344</v>
      </c>
      <c r="B384" s="1067">
        <v>105027</v>
      </c>
      <c r="C384" s="644">
        <v>18839</v>
      </c>
      <c r="D384" s="644">
        <v>18722</v>
      </c>
      <c r="E384" s="644">
        <v>6302</v>
      </c>
      <c r="F384" s="644">
        <v>8182</v>
      </c>
      <c r="G384" s="645" t="s">
        <v>68</v>
      </c>
      <c r="H384" s="644">
        <v>16426</v>
      </c>
      <c r="I384" s="644">
        <v>9875</v>
      </c>
      <c r="J384" s="646">
        <v>3444</v>
      </c>
      <c r="K384" s="647">
        <v>4085</v>
      </c>
      <c r="L384" s="647">
        <v>4085</v>
      </c>
      <c r="M384" s="647">
        <v>3130</v>
      </c>
      <c r="N384" s="646"/>
      <c r="O384" s="623"/>
      <c r="P384" s="643" t="s">
        <v>344</v>
      </c>
      <c r="Q384" s="651">
        <v>5.2671385629787598E-2</v>
      </c>
      <c r="R384" s="649">
        <v>0.20935293805403701</v>
      </c>
      <c r="S384" s="649">
        <v>0.20793718619805601</v>
      </c>
      <c r="T384" s="649">
        <v>0.37480165026975598</v>
      </c>
      <c r="U384" s="649">
        <v>0.29491566854069901</v>
      </c>
      <c r="V384" s="645" t="s">
        <v>68</v>
      </c>
      <c r="W384" s="649">
        <v>0.210580786557896</v>
      </c>
      <c r="X384" s="649">
        <v>0.23058227848101301</v>
      </c>
      <c r="Y384" s="650">
        <v>0.396341463414634</v>
      </c>
      <c r="Z384" s="651">
        <v>0.41370869033047702</v>
      </c>
      <c r="AA384" s="651">
        <v>0.41370869033047702</v>
      </c>
      <c r="AB384" s="651">
        <v>0.416613418530351</v>
      </c>
    </row>
    <row r="385" spans="1:28">
      <c r="A385" s="652"/>
      <c r="B385" s="1066"/>
      <c r="C385" s="653">
        <v>0.179372923153094</v>
      </c>
      <c r="D385" s="653">
        <v>0.17825892389576001</v>
      </c>
      <c r="E385" s="653">
        <v>6.0003618117245999E-2</v>
      </c>
      <c r="F385" s="653">
        <v>7.7903777123977599E-2</v>
      </c>
      <c r="G385" s="653"/>
      <c r="H385" s="653">
        <v>0.15639787864072999</v>
      </c>
      <c r="I385" s="653">
        <v>9.40234415912099E-2</v>
      </c>
      <c r="J385" s="654">
        <v>3.2791567882544503E-2</v>
      </c>
      <c r="K385" s="654">
        <v>3.8894760394946097E-2</v>
      </c>
      <c r="L385" s="654">
        <v>3.8894760394946097E-2</v>
      </c>
      <c r="M385" s="654">
        <v>2.9801860473973402E-2</v>
      </c>
      <c r="N385" s="743"/>
      <c r="O385" s="623"/>
      <c r="P385" s="652"/>
      <c r="Q385" s="655"/>
      <c r="R385" s="653"/>
      <c r="S385" s="653"/>
      <c r="T385" s="653"/>
      <c r="U385" s="653"/>
      <c r="V385" s="659"/>
      <c r="W385" s="653"/>
      <c r="X385" s="653"/>
      <c r="Y385" s="656"/>
      <c r="Z385" s="657"/>
      <c r="AA385" s="657"/>
      <c r="AB385" s="657"/>
    </row>
    <row r="386" spans="1:28">
      <c r="A386" s="643" t="s">
        <v>347</v>
      </c>
      <c r="B386" s="1067">
        <v>185008</v>
      </c>
      <c r="C386" s="644">
        <v>74343</v>
      </c>
      <c r="D386" s="644">
        <v>64214</v>
      </c>
      <c r="E386" s="644">
        <v>56793</v>
      </c>
      <c r="F386" s="644">
        <v>36406</v>
      </c>
      <c r="G386" s="644">
        <v>16412</v>
      </c>
      <c r="H386" s="658" t="s">
        <v>68</v>
      </c>
      <c r="I386" s="644">
        <v>29128</v>
      </c>
      <c r="J386" s="646">
        <v>46876</v>
      </c>
      <c r="K386" s="647">
        <v>32487</v>
      </c>
      <c r="L386" s="647">
        <v>13423</v>
      </c>
      <c r="M386" s="647">
        <v>10880</v>
      </c>
      <c r="N386" s="646"/>
      <c r="O386" s="623"/>
      <c r="P386" s="643" t="s">
        <v>347</v>
      </c>
      <c r="Q386" s="651">
        <v>0.23008441488502299</v>
      </c>
      <c r="R386" s="649">
        <v>0.68187993489635901</v>
      </c>
      <c r="S386" s="649">
        <v>0.72652381100694596</v>
      </c>
      <c r="T386" s="649">
        <v>0.77409187752011699</v>
      </c>
      <c r="U386" s="649">
        <v>0.77234521782123799</v>
      </c>
      <c r="V386" s="649">
        <v>0.80453326834023897</v>
      </c>
      <c r="W386" s="658" t="s">
        <v>68</v>
      </c>
      <c r="X386" s="649">
        <v>0.73551222191705601</v>
      </c>
      <c r="Y386" s="650">
        <v>0.729413772506187</v>
      </c>
      <c r="Z386" s="651">
        <v>0.815033705790008</v>
      </c>
      <c r="AA386" s="651">
        <v>0.821649407732996</v>
      </c>
      <c r="AB386" s="651">
        <v>0.81139705882352897</v>
      </c>
    </row>
    <row r="387" spans="1:28">
      <c r="A387" s="652"/>
      <c r="B387" s="1077"/>
      <c r="C387" s="653">
        <v>0.40183667733287198</v>
      </c>
      <c r="D387" s="653">
        <v>0.34708769350514601</v>
      </c>
      <c r="E387" s="653">
        <v>0.30697591455504603</v>
      </c>
      <c r="F387" s="653">
        <v>0.19678067975438901</v>
      </c>
      <c r="G387" s="653">
        <v>8.8709677419354802E-2</v>
      </c>
      <c r="H387" s="653"/>
      <c r="I387" s="653">
        <v>0.15744184035285</v>
      </c>
      <c r="J387" s="654">
        <v>0.25337282712098902</v>
      </c>
      <c r="K387" s="654">
        <v>0.17559781198650901</v>
      </c>
      <c r="L387" s="654">
        <v>7.2553619302949096E-2</v>
      </c>
      <c r="M387" s="654">
        <v>5.8808267750583801E-2</v>
      </c>
      <c r="N387" s="743"/>
      <c r="O387" s="623"/>
      <c r="P387" s="652"/>
      <c r="Q387" s="661"/>
      <c r="R387" s="653"/>
      <c r="S387" s="653"/>
      <c r="T387" s="653"/>
      <c r="U387" s="653"/>
      <c r="V387" s="653"/>
      <c r="W387" s="738"/>
      <c r="X387" s="653"/>
      <c r="Y387" s="656"/>
      <c r="Z387" s="657"/>
      <c r="AA387" s="657"/>
      <c r="AB387" s="657"/>
    </row>
    <row r="388" spans="1:28">
      <c r="A388" s="643" t="s">
        <v>122</v>
      </c>
      <c r="B388" s="1067">
        <v>65586</v>
      </c>
      <c r="C388" s="644">
        <v>3063</v>
      </c>
      <c r="D388" s="644">
        <v>2990</v>
      </c>
      <c r="E388" s="644">
        <v>1161</v>
      </c>
      <c r="F388" s="644">
        <v>676</v>
      </c>
      <c r="G388" s="644">
        <v>279</v>
      </c>
      <c r="H388" s="644">
        <v>2498</v>
      </c>
      <c r="I388" s="658" t="s">
        <v>68</v>
      </c>
      <c r="J388" s="646">
        <v>491</v>
      </c>
      <c r="K388" s="647">
        <v>388</v>
      </c>
      <c r="L388" s="647">
        <v>153</v>
      </c>
      <c r="M388" s="647">
        <v>153</v>
      </c>
      <c r="N388" s="646"/>
      <c r="O388" s="623"/>
      <c r="P388" s="643" t="s">
        <v>122</v>
      </c>
      <c r="Q388" s="651">
        <v>3.5193886047341499E-2</v>
      </c>
      <c r="R388" s="649">
        <v>0.39340515834149498</v>
      </c>
      <c r="S388" s="649">
        <v>0.39431438127090301</v>
      </c>
      <c r="T388" s="649">
        <v>0.70025839793281697</v>
      </c>
      <c r="U388" s="649">
        <v>0.67455621301775104</v>
      </c>
      <c r="V388" s="649">
        <v>0.76344086021505397</v>
      </c>
      <c r="W388" s="649">
        <v>0.38630904723779003</v>
      </c>
      <c r="X388" s="658" t="s">
        <v>68</v>
      </c>
      <c r="Y388" s="650">
        <v>0.65987780040733202</v>
      </c>
      <c r="Z388" s="651">
        <v>0.87371134020618602</v>
      </c>
      <c r="AA388" s="651">
        <v>0.92156862745098</v>
      </c>
      <c r="AB388" s="651">
        <v>0.92156862745098</v>
      </c>
    </row>
    <row r="389" spans="1:28">
      <c r="A389" s="662"/>
      <c r="B389" s="1078"/>
      <c r="C389" s="663">
        <v>4.6702040069527002E-2</v>
      </c>
      <c r="D389" s="664">
        <v>4.5588997651937899E-2</v>
      </c>
      <c r="E389" s="664">
        <v>1.7701948586588599E-2</v>
      </c>
      <c r="F389" s="664">
        <v>1.0307077730003399E-2</v>
      </c>
      <c r="G389" s="664">
        <v>4.2539566370871796E-3</v>
      </c>
      <c r="H389" s="664">
        <v>3.8087396700515398E-2</v>
      </c>
      <c r="I389" s="664"/>
      <c r="J389" s="665">
        <v>7.4863537950172303E-3</v>
      </c>
      <c r="K389" s="666">
        <v>5.9158966852682002E-3</v>
      </c>
      <c r="L389" s="666">
        <v>2.3328149300155501E-3</v>
      </c>
      <c r="M389" s="666">
        <v>2.3328149300155501E-3</v>
      </c>
      <c r="N389" s="743"/>
      <c r="O389" s="623"/>
      <c r="P389" s="662"/>
      <c r="Q389" s="667"/>
      <c r="R389" s="664"/>
      <c r="S389" s="664"/>
      <c r="T389" s="664"/>
      <c r="U389" s="664"/>
      <c r="V389" s="664"/>
      <c r="W389" s="664"/>
      <c r="X389" s="664"/>
      <c r="Y389" s="665"/>
      <c r="Z389" s="666"/>
      <c r="AA389" s="666"/>
      <c r="AB389" s="666"/>
    </row>
    <row r="390" spans="1:28">
      <c r="A390" s="668" t="s">
        <v>348</v>
      </c>
      <c r="B390" s="744">
        <v>845075</v>
      </c>
      <c r="C390" s="670">
        <v>222136</v>
      </c>
      <c r="D390" s="670">
        <v>209046</v>
      </c>
      <c r="E390" s="670">
        <v>97667</v>
      </c>
      <c r="F390" s="670">
        <v>68336</v>
      </c>
      <c r="G390" s="670">
        <v>47301</v>
      </c>
      <c r="H390" s="670">
        <v>131582</v>
      </c>
      <c r="I390" s="670">
        <v>96926</v>
      </c>
      <c r="J390" s="671">
        <v>90345</v>
      </c>
      <c r="K390" s="672">
        <v>90024</v>
      </c>
      <c r="L390" s="672">
        <v>37524</v>
      </c>
      <c r="M390" s="672">
        <v>30751</v>
      </c>
      <c r="N390" s="671"/>
      <c r="O390" s="623"/>
      <c r="P390" s="668" t="s">
        <v>348</v>
      </c>
      <c r="Q390" s="673">
        <v>0.157115681906427</v>
      </c>
      <c r="R390" s="674">
        <v>0.51293351820506405</v>
      </c>
      <c r="S390" s="674">
        <v>0.516800130114903</v>
      </c>
      <c r="T390" s="674">
        <v>0.65811379483346499</v>
      </c>
      <c r="U390" s="674">
        <v>0.72014750643877301</v>
      </c>
      <c r="V390" s="674">
        <v>0.67398152258937405</v>
      </c>
      <c r="W390" s="674">
        <v>0.43053001170372801</v>
      </c>
      <c r="X390" s="674">
        <v>0.577419887336731</v>
      </c>
      <c r="Y390" s="675">
        <v>0.69267806740826798</v>
      </c>
      <c r="Z390" s="673">
        <v>0.688094285968186</v>
      </c>
      <c r="AA390" s="673">
        <v>0.73115872508261404</v>
      </c>
      <c r="AB390" s="673">
        <v>0.73252902344639204</v>
      </c>
    </row>
    <row r="391" spans="1:28">
      <c r="A391" s="676" t="s">
        <v>349</v>
      </c>
      <c r="B391" s="677"/>
      <c r="C391" s="682">
        <v>0.26285950951099002</v>
      </c>
      <c r="D391" s="682">
        <v>0.24736976008046599</v>
      </c>
      <c r="E391" s="682">
        <v>0.115571990651717</v>
      </c>
      <c r="F391" s="682">
        <v>8.0863828654261394E-2</v>
      </c>
      <c r="G391" s="682">
        <v>5.59725468153714E-2</v>
      </c>
      <c r="H391" s="682">
        <v>0.155704523267166</v>
      </c>
      <c r="I391" s="682">
        <v>0.11469514540129599</v>
      </c>
      <c r="J391" s="683">
        <v>0.10690767091678301</v>
      </c>
      <c r="K391" s="684">
        <v>0.106527822974292</v>
      </c>
      <c r="L391" s="684">
        <v>4.4403159482886097E-2</v>
      </c>
      <c r="M391" s="684">
        <v>3.6388486229032901E-2</v>
      </c>
      <c r="N391" s="706"/>
      <c r="O391" s="623"/>
      <c r="P391" s="676" t="s">
        <v>349</v>
      </c>
      <c r="Q391" s="681"/>
      <c r="R391" s="682"/>
      <c r="S391" s="682"/>
      <c r="T391" s="682"/>
      <c r="U391" s="682"/>
      <c r="V391" s="682"/>
      <c r="W391" s="682"/>
      <c r="X391" s="682"/>
      <c r="Y391" s="683"/>
      <c r="Z391" s="684"/>
      <c r="AA391" s="684"/>
      <c r="AB391" s="684"/>
    </row>
    <row r="392" spans="1:28">
      <c r="A392" s="643" t="s">
        <v>51</v>
      </c>
      <c r="B392" s="1067">
        <v>53106</v>
      </c>
      <c r="C392" s="644">
        <v>13325</v>
      </c>
      <c r="D392" s="644">
        <v>13325</v>
      </c>
      <c r="E392" s="644">
        <v>4013</v>
      </c>
      <c r="F392" s="644">
        <v>2656</v>
      </c>
      <c r="G392" s="644">
        <v>977</v>
      </c>
      <c r="H392" s="644">
        <v>12234</v>
      </c>
      <c r="I392" s="644">
        <v>1641</v>
      </c>
      <c r="J392" s="685" t="s">
        <v>68</v>
      </c>
      <c r="K392" s="686">
        <v>1490</v>
      </c>
      <c r="L392" s="686">
        <v>579</v>
      </c>
      <c r="M392" s="686">
        <v>426</v>
      </c>
      <c r="N392" s="646"/>
      <c r="O392" s="623"/>
      <c r="P392" s="643" t="s">
        <v>51</v>
      </c>
      <c r="Q392" s="651">
        <v>9.0270329730770302E-2</v>
      </c>
      <c r="R392" s="649">
        <v>0.29777177582714398</v>
      </c>
      <c r="S392" s="649">
        <v>0.29777177582714398</v>
      </c>
      <c r="T392" s="649">
        <v>0.76008968609865502</v>
      </c>
      <c r="U392" s="649">
        <v>0.54271735039518298</v>
      </c>
      <c r="V392" s="649">
        <v>0.67041965199590603</v>
      </c>
      <c r="W392" s="649">
        <v>0.28176840728936797</v>
      </c>
      <c r="X392" s="649">
        <v>0.87568555758683697</v>
      </c>
      <c r="Y392" s="658" t="s">
        <v>68</v>
      </c>
      <c r="Z392" s="651">
        <v>0.82763246143527802</v>
      </c>
      <c r="AA392" s="651">
        <v>0.89310344827586197</v>
      </c>
      <c r="AB392" s="651">
        <v>0.97652582159624401</v>
      </c>
    </row>
    <row r="393" spans="1:28">
      <c r="A393" s="687"/>
      <c r="B393" s="1064"/>
      <c r="C393" s="688">
        <v>0.25091326780401502</v>
      </c>
      <c r="D393" s="688">
        <v>0.25091326780401502</v>
      </c>
      <c r="E393" s="688">
        <v>7.5565849433209098E-2</v>
      </c>
      <c r="F393" s="688">
        <v>5.00131811848002E-2</v>
      </c>
      <c r="G393" s="688">
        <v>1.8397167928294399E-2</v>
      </c>
      <c r="H393" s="688">
        <v>0.23036944977968599</v>
      </c>
      <c r="I393" s="688">
        <v>3.0900463224494398E-2</v>
      </c>
      <c r="J393" s="689"/>
      <c r="K393" s="690">
        <v>2.8057093360448902E-2</v>
      </c>
      <c r="L393" s="690">
        <v>1.0902722856174401E-2</v>
      </c>
      <c r="M393" s="690">
        <v>8.0216924641283507E-3</v>
      </c>
      <c r="N393" s="743"/>
      <c r="O393" s="623"/>
      <c r="P393" s="687"/>
      <c r="Q393" s="642"/>
      <c r="R393" s="688"/>
      <c r="S393" s="688"/>
      <c r="T393" s="688"/>
      <c r="U393" s="688"/>
      <c r="V393" s="688"/>
      <c r="W393" s="688"/>
      <c r="X393" s="688"/>
      <c r="Y393" s="689"/>
      <c r="Z393" s="690"/>
      <c r="AA393" s="690"/>
      <c r="AB393" s="690"/>
    </row>
    <row r="394" spans="1:28">
      <c r="A394" s="668" t="s">
        <v>350</v>
      </c>
      <c r="B394" s="691">
        <v>898181</v>
      </c>
      <c r="C394" s="692">
        <v>235465</v>
      </c>
      <c r="D394" s="693">
        <v>222375</v>
      </c>
      <c r="E394" s="693">
        <v>101681</v>
      </c>
      <c r="F394" s="693">
        <v>70993</v>
      </c>
      <c r="G394" s="693">
        <v>48278</v>
      </c>
      <c r="H394" s="693">
        <v>143819</v>
      </c>
      <c r="I394" s="693">
        <v>98567</v>
      </c>
      <c r="J394" s="694">
        <v>90345</v>
      </c>
      <c r="K394" s="695">
        <v>91515</v>
      </c>
      <c r="L394" s="695">
        <v>38104</v>
      </c>
      <c r="M394" s="695">
        <v>31177</v>
      </c>
      <c r="N394" s="745"/>
      <c r="O394" s="623"/>
      <c r="P394" s="668" t="s">
        <v>350</v>
      </c>
      <c r="Q394" s="696">
        <v>0.152457714245746</v>
      </c>
      <c r="R394" s="697">
        <v>0.50075382753275399</v>
      </c>
      <c r="S394" s="698">
        <v>0.50367172568858898</v>
      </c>
      <c r="T394" s="698">
        <v>0.66213943607950398</v>
      </c>
      <c r="U394" s="698">
        <v>0.71350696547546899</v>
      </c>
      <c r="V394" s="698">
        <v>0.67390944115331997</v>
      </c>
      <c r="W394" s="698">
        <v>0.417872464695207</v>
      </c>
      <c r="X394" s="698">
        <v>0.58238558543934604</v>
      </c>
      <c r="Y394" s="699">
        <v>0.69267806740826798</v>
      </c>
      <c r="Z394" s="700">
        <v>0.69036769928427</v>
      </c>
      <c r="AA394" s="700">
        <v>0.73362376653369699</v>
      </c>
      <c r="AB394" s="700">
        <v>0.73586297591173</v>
      </c>
    </row>
    <row r="395" spans="1:28" ht="15.75" thickBot="1">
      <c r="A395" s="701"/>
      <c r="B395" s="740"/>
      <c r="C395" s="703">
        <v>0.26215762747152299</v>
      </c>
      <c r="D395" s="703">
        <v>0.24758372755602701</v>
      </c>
      <c r="E395" s="703">
        <v>0.113207694217535</v>
      </c>
      <c r="F395" s="703">
        <v>7.9040861474468996E-2</v>
      </c>
      <c r="G395" s="703">
        <v>5.3750858679931998E-2</v>
      </c>
      <c r="H395" s="703">
        <v>0.16012251428164301</v>
      </c>
      <c r="I395" s="703">
        <v>0.109740687010747</v>
      </c>
      <c r="J395" s="704">
        <v>0.100586630089036</v>
      </c>
      <c r="K395" s="705">
        <v>0.101889262854592</v>
      </c>
      <c r="L395" s="705">
        <v>4.2423520426283799E-2</v>
      </c>
      <c r="M395" s="705">
        <v>3.4711266437388498E-2</v>
      </c>
      <c r="N395" s="706"/>
      <c r="O395" s="623"/>
      <c r="P395" s="701"/>
      <c r="Q395" s="702"/>
      <c r="R395" s="703"/>
      <c r="S395" s="703"/>
      <c r="T395" s="703"/>
      <c r="U395" s="703"/>
      <c r="V395" s="703"/>
      <c r="W395" s="703"/>
      <c r="X395" s="703"/>
      <c r="Y395" s="704"/>
      <c r="Z395" s="705"/>
      <c r="AA395" s="705"/>
      <c r="AB395" s="705"/>
    </row>
    <row r="396" spans="1:28">
      <c r="A396" s="627"/>
      <c r="B396" s="964"/>
      <c r="C396" s="627"/>
      <c r="D396" s="627"/>
      <c r="E396" s="627"/>
      <c r="F396" s="627"/>
      <c r="G396" s="627"/>
      <c r="H396" s="965"/>
      <c r="I396" s="965"/>
      <c r="J396" s="965"/>
      <c r="K396" s="965"/>
      <c r="L396" s="965"/>
      <c r="M396" s="965"/>
      <c r="N396" s="627"/>
      <c r="O396" s="627"/>
      <c r="P396" s="627"/>
      <c r="Q396" s="627"/>
      <c r="R396" s="627"/>
      <c r="S396" s="627"/>
      <c r="T396" s="627"/>
      <c r="U396" s="627"/>
      <c r="V396" s="965"/>
      <c r="W396" s="965"/>
      <c r="X396" s="965"/>
      <c r="Y396" s="965"/>
      <c r="Z396" s="965"/>
      <c r="AA396" s="965"/>
      <c r="AB396" s="965"/>
    </row>
    <row r="397" spans="1:28">
      <c r="A397" s="623"/>
      <c r="B397" s="964"/>
      <c r="C397" s="627"/>
      <c r="D397" s="627"/>
      <c r="E397" s="627"/>
      <c r="F397" s="627"/>
      <c r="G397" s="965"/>
      <c r="H397" s="965"/>
      <c r="I397" s="965"/>
      <c r="J397" s="965"/>
      <c r="K397" s="965"/>
      <c r="L397" s="965"/>
      <c r="M397" s="965"/>
      <c r="N397" s="965"/>
      <c r="O397" s="627"/>
      <c r="P397" s="623" t="s">
        <v>355</v>
      </c>
      <c r="Q397" s="623" t="s">
        <v>356</v>
      </c>
      <c r="R397" s="627"/>
      <c r="S397" s="627"/>
      <c r="T397" s="627"/>
      <c r="U397" s="627"/>
      <c r="V397" s="965"/>
      <c r="W397" s="965"/>
      <c r="X397" s="965"/>
      <c r="Y397" s="965"/>
      <c r="Z397" s="965"/>
      <c r="AA397" s="965"/>
      <c r="AB397" s="965"/>
    </row>
    <row r="398" spans="1:28">
      <c r="A398" s="625" t="s">
        <v>324</v>
      </c>
      <c r="B398" s="626"/>
      <c r="C398" s="625">
        <v>2003</v>
      </c>
      <c r="D398" s="623"/>
      <c r="E398" s="623"/>
      <c r="F398" s="623"/>
      <c r="G398" s="623"/>
      <c r="H398" s="623"/>
      <c r="I398" s="623"/>
      <c r="J398" s="623"/>
      <c r="K398" s="623"/>
      <c r="L398" s="623"/>
      <c r="M398" s="623"/>
      <c r="N398" s="623"/>
      <c r="O398" s="623"/>
      <c r="P398" s="625" t="s">
        <v>324</v>
      </c>
      <c r="Q398" s="625"/>
      <c r="R398" s="625">
        <v>2003</v>
      </c>
      <c r="S398" s="623"/>
      <c r="T398" s="623"/>
      <c r="U398" s="623"/>
      <c r="V398" s="627"/>
      <c r="W398" s="627"/>
      <c r="X398" s="627"/>
      <c r="Y398" s="627"/>
      <c r="Z398" s="627"/>
      <c r="AA398" s="627"/>
      <c r="AB398" s="627"/>
    </row>
    <row r="399" spans="1:28" ht="15.75" thickBot="1">
      <c r="A399" s="623"/>
      <c r="B399" s="964"/>
      <c r="C399" s="623"/>
      <c r="D399" s="623"/>
      <c r="E399" s="623"/>
      <c r="F399" s="623"/>
      <c r="G399" s="627"/>
      <c r="H399" s="627"/>
      <c r="I399" s="627"/>
      <c r="J399" s="627"/>
      <c r="K399" s="627"/>
      <c r="L399" s="627"/>
      <c r="M399" s="627"/>
      <c r="N399" s="627"/>
      <c r="O399" s="623"/>
      <c r="P399" s="623"/>
      <c r="Q399" s="623"/>
      <c r="R399" s="623"/>
      <c r="S399" s="623"/>
      <c r="T399" s="623"/>
      <c r="U399" s="623"/>
      <c r="V399" s="627"/>
      <c r="W399" s="627"/>
      <c r="X399" s="627"/>
      <c r="Y399" s="627"/>
      <c r="Z399" s="627"/>
      <c r="AA399" s="627"/>
      <c r="AB399" s="627"/>
    </row>
    <row r="400" spans="1:28">
      <c r="A400" s="629" t="s">
        <v>325</v>
      </c>
      <c r="B400" s="630" t="s">
        <v>326</v>
      </c>
      <c r="C400" s="631"/>
      <c r="D400" s="631"/>
      <c r="E400" s="631" t="s">
        <v>327</v>
      </c>
      <c r="F400" s="631"/>
      <c r="G400" s="631"/>
      <c r="H400" s="631"/>
      <c r="I400" s="631"/>
      <c r="J400" s="631"/>
      <c r="K400" s="629" t="s">
        <v>328</v>
      </c>
      <c r="L400" s="629" t="s">
        <v>329</v>
      </c>
      <c r="M400" s="629" t="s">
        <v>330</v>
      </c>
      <c r="N400" s="741"/>
      <c r="O400" s="623"/>
      <c r="P400" s="629" t="s">
        <v>325</v>
      </c>
      <c r="Q400" s="632" t="s">
        <v>326</v>
      </c>
      <c r="R400" s="631"/>
      <c r="S400" s="631"/>
      <c r="T400" s="631" t="s">
        <v>331</v>
      </c>
      <c r="U400" s="631"/>
      <c r="V400" s="631"/>
      <c r="W400" s="631"/>
      <c r="X400" s="631"/>
      <c r="Y400" s="631"/>
      <c r="Z400" s="629" t="s">
        <v>328</v>
      </c>
      <c r="AA400" s="629" t="s">
        <v>329</v>
      </c>
      <c r="AB400" s="629" t="s">
        <v>330</v>
      </c>
    </row>
    <row r="401" spans="1:28">
      <c r="A401" s="633" t="s">
        <v>332</v>
      </c>
      <c r="B401" s="1063" t="s">
        <v>333</v>
      </c>
      <c r="C401" s="634"/>
      <c r="D401" s="634"/>
      <c r="E401" s="634" t="s">
        <v>334</v>
      </c>
      <c r="F401" s="634"/>
      <c r="G401" s="634"/>
      <c r="H401" s="634"/>
      <c r="I401" s="634"/>
      <c r="J401" s="634"/>
      <c r="K401" s="635" t="s">
        <v>335</v>
      </c>
      <c r="L401" s="635" t="s">
        <v>335</v>
      </c>
      <c r="M401" s="635" t="s">
        <v>335</v>
      </c>
      <c r="N401" s="741"/>
      <c r="O401" s="623"/>
      <c r="P401" s="633" t="s">
        <v>332</v>
      </c>
      <c r="Q401" s="636" t="s">
        <v>333</v>
      </c>
      <c r="R401" s="634"/>
      <c r="S401" s="634"/>
      <c r="T401" s="634" t="s">
        <v>336</v>
      </c>
      <c r="U401" s="634"/>
      <c r="V401" s="634"/>
      <c r="W401" s="634"/>
      <c r="X401" s="634"/>
      <c r="Y401" s="634"/>
      <c r="Z401" s="635" t="s">
        <v>335</v>
      </c>
      <c r="AA401" s="635" t="s">
        <v>335</v>
      </c>
      <c r="AB401" s="635" t="s">
        <v>335</v>
      </c>
    </row>
    <row r="402" spans="1:28">
      <c r="A402" s="633" t="s">
        <v>337</v>
      </c>
      <c r="B402" s="1063" t="s">
        <v>53</v>
      </c>
      <c r="C402" s="637" t="s">
        <v>338</v>
      </c>
      <c r="D402" s="637" t="s">
        <v>339</v>
      </c>
      <c r="E402" s="637"/>
      <c r="F402" s="637"/>
      <c r="G402" s="637"/>
      <c r="H402" s="637"/>
      <c r="I402" s="637"/>
      <c r="J402" s="638" t="s">
        <v>164</v>
      </c>
      <c r="K402" s="633" t="s">
        <v>340</v>
      </c>
      <c r="L402" s="633" t="s">
        <v>341</v>
      </c>
      <c r="M402" s="633" t="s">
        <v>341</v>
      </c>
      <c r="N402" s="742"/>
      <c r="O402" s="623"/>
      <c r="P402" s="633" t="s">
        <v>337</v>
      </c>
      <c r="Q402" s="636" t="s">
        <v>53</v>
      </c>
      <c r="R402" s="637" t="s">
        <v>338</v>
      </c>
      <c r="S402" s="637" t="s">
        <v>339</v>
      </c>
      <c r="T402" s="637"/>
      <c r="U402" s="637"/>
      <c r="V402" s="637"/>
      <c r="W402" s="637"/>
      <c r="X402" s="637"/>
      <c r="Y402" s="638" t="s">
        <v>164</v>
      </c>
      <c r="Z402" s="633" t="s">
        <v>340</v>
      </c>
      <c r="AA402" s="633" t="s">
        <v>341</v>
      </c>
      <c r="AB402" s="633" t="s">
        <v>341</v>
      </c>
    </row>
    <row r="403" spans="1:28">
      <c r="A403" s="639"/>
      <c r="B403" s="1064"/>
      <c r="C403" s="640" t="s">
        <v>342</v>
      </c>
      <c r="D403" s="640" t="s">
        <v>343</v>
      </c>
      <c r="E403" s="640" t="s">
        <v>127</v>
      </c>
      <c r="F403" s="640" t="s">
        <v>56</v>
      </c>
      <c r="G403" s="640" t="s">
        <v>344</v>
      </c>
      <c r="H403" s="640" t="s">
        <v>345</v>
      </c>
      <c r="I403" s="640" t="s">
        <v>122</v>
      </c>
      <c r="J403" s="634" t="s">
        <v>346</v>
      </c>
      <c r="K403" s="641" t="s">
        <v>361</v>
      </c>
      <c r="L403" s="641" t="s">
        <v>362</v>
      </c>
      <c r="M403" s="641" t="s">
        <v>363</v>
      </c>
      <c r="N403" s="741"/>
      <c r="O403" s="623"/>
      <c r="P403" s="639"/>
      <c r="Q403" s="642"/>
      <c r="R403" s="640" t="s">
        <v>342</v>
      </c>
      <c r="S403" s="640" t="s">
        <v>343</v>
      </c>
      <c r="T403" s="640" t="s">
        <v>127</v>
      </c>
      <c r="U403" s="640" t="s">
        <v>56</v>
      </c>
      <c r="V403" s="640" t="s">
        <v>344</v>
      </c>
      <c r="W403" s="640" t="s">
        <v>345</v>
      </c>
      <c r="X403" s="640" t="s">
        <v>122</v>
      </c>
      <c r="Y403" s="634" t="s">
        <v>346</v>
      </c>
      <c r="Z403" s="641" t="s">
        <v>361</v>
      </c>
      <c r="AA403" s="641" t="s">
        <v>362</v>
      </c>
      <c r="AB403" s="641" t="s">
        <v>363</v>
      </c>
    </row>
    <row r="404" spans="1:28">
      <c r="A404" s="643" t="s">
        <v>127</v>
      </c>
      <c r="B404" s="1065">
        <v>125129</v>
      </c>
      <c r="C404" s="644">
        <v>50308</v>
      </c>
      <c r="D404" s="644">
        <v>47340</v>
      </c>
      <c r="E404" s="645" t="s">
        <v>68</v>
      </c>
      <c r="F404" s="644">
        <v>22634</v>
      </c>
      <c r="G404" s="644">
        <v>9624</v>
      </c>
      <c r="H404" s="644">
        <v>44340</v>
      </c>
      <c r="I404" s="644">
        <v>19140</v>
      </c>
      <c r="J404" s="646">
        <v>22011</v>
      </c>
      <c r="K404" s="647">
        <v>21106</v>
      </c>
      <c r="L404" s="647">
        <v>8088</v>
      </c>
      <c r="M404" s="647">
        <v>6928</v>
      </c>
      <c r="N404" s="646"/>
      <c r="O404" s="623"/>
      <c r="P404" s="643" t="s">
        <v>127</v>
      </c>
      <c r="Q404" s="648">
        <v>0.32796490490069402</v>
      </c>
      <c r="R404" s="649">
        <v>0.64252206408523505</v>
      </c>
      <c r="S404" s="649">
        <v>0.63160118293198098</v>
      </c>
      <c r="T404" s="645" t="s">
        <v>68</v>
      </c>
      <c r="U404" s="649">
        <v>0.77211275072899199</v>
      </c>
      <c r="V404" s="649">
        <v>0.84808811305070697</v>
      </c>
      <c r="W404" s="649">
        <v>0.63543076229138495</v>
      </c>
      <c r="X404" s="649">
        <v>0.78594566353187001</v>
      </c>
      <c r="Y404" s="650">
        <v>0.82208895552223904</v>
      </c>
      <c r="Z404" s="651">
        <v>0.78304747465175795</v>
      </c>
      <c r="AA404" s="651">
        <v>0.86696340257171101</v>
      </c>
      <c r="AB404" s="651">
        <v>0.87384526558891495</v>
      </c>
    </row>
    <row r="405" spans="1:28">
      <c r="A405" s="652"/>
      <c r="B405" s="1066"/>
      <c r="C405" s="653">
        <v>0.40204908534392497</v>
      </c>
      <c r="D405" s="653">
        <v>0.378329563890065</v>
      </c>
      <c r="E405" s="653"/>
      <c r="F405" s="653">
        <v>0.180885326343214</v>
      </c>
      <c r="G405" s="653">
        <v>7.6912626169792803E-2</v>
      </c>
      <c r="H405" s="653">
        <v>0.35435430635584098</v>
      </c>
      <c r="I405" s="653">
        <v>0.15296214306835301</v>
      </c>
      <c r="J405" s="654">
        <v>0.175906464528606</v>
      </c>
      <c r="K405" s="654">
        <v>0.168673928505782</v>
      </c>
      <c r="L405" s="654">
        <v>6.4637294312269694E-2</v>
      </c>
      <c r="M405" s="654">
        <v>5.5366861399036203E-2</v>
      </c>
      <c r="N405" s="743"/>
      <c r="O405" s="623"/>
      <c r="P405" s="652"/>
      <c r="Q405" s="655"/>
      <c r="R405" s="653"/>
      <c r="S405" s="653"/>
      <c r="T405" s="653"/>
      <c r="U405" s="653"/>
      <c r="V405" s="653"/>
      <c r="W405" s="653"/>
      <c r="X405" s="653"/>
      <c r="Y405" s="656"/>
      <c r="Z405" s="657"/>
      <c r="AA405" s="657"/>
      <c r="AB405" s="657"/>
    </row>
    <row r="406" spans="1:28">
      <c r="A406" s="643" t="s">
        <v>56</v>
      </c>
      <c r="B406" s="1067">
        <v>358184</v>
      </c>
      <c r="C406" s="644">
        <v>70118</v>
      </c>
      <c r="D406" s="644">
        <v>68532</v>
      </c>
      <c r="E406" s="644">
        <v>32076</v>
      </c>
      <c r="F406" s="645" t="s">
        <v>68</v>
      </c>
      <c r="G406" s="644">
        <v>20510</v>
      </c>
      <c r="H406" s="644">
        <v>62049</v>
      </c>
      <c r="I406" s="644">
        <v>33122</v>
      </c>
      <c r="J406" s="646">
        <v>19744</v>
      </c>
      <c r="K406" s="647">
        <v>30464</v>
      </c>
      <c r="L406" s="647">
        <v>12159</v>
      </c>
      <c r="M406" s="647">
        <v>10013</v>
      </c>
      <c r="N406" s="646"/>
      <c r="O406" s="623"/>
      <c r="P406" s="643" t="s">
        <v>56</v>
      </c>
      <c r="Q406" s="651">
        <v>7.0353404049288401E-2</v>
      </c>
      <c r="R406" s="649">
        <v>0.31837759205909999</v>
      </c>
      <c r="S406" s="649">
        <v>0.30760812467168602</v>
      </c>
      <c r="T406" s="649">
        <v>0.47138047138047101</v>
      </c>
      <c r="U406" s="645" t="s">
        <v>68</v>
      </c>
      <c r="V406" s="649">
        <v>0.484397854705022</v>
      </c>
      <c r="W406" s="649">
        <v>0.31409047688117497</v>
      </c>
      <c r="X406" s="649">
        <v>0.39451120101443099</v>
      </c>
      <c r="Y406" s="650">
        <v>0.54208873581847605</v>
      </c>
      <c r="Z406" s="651">
        <v>0.47623424369747902</v>
      </c>
      <c r="AA406" s="651">
        <v>0.63327576280944198</v>
      </c>
      <c r="AB406" s="651">
        <v>0.61749725357035901</v>
      </c>
    </row>
    <row r="407" spans="1:28">
      <c r="A407" s="652"/>
      <c r="B407" s="1066"/>
      <c r="C407" s="653">
        <v>0.195759721260581</v>
      </c>
      <c r="D407" s="653">
        <v>0.191331829450785</v>
      </c>
      <c r="E407" s="653">
        <v>8.9551738771134398E-2</v>
      </c>
      <c r="F407" s="653"/>
      <c r="G407" s="653">
        <v>5.7261072521385702E-2</v>
      </c>
      <c r="H407" s="653">
        <v>0.17323219350948099</v>
      </c>
      <c r="I407" s="653">
        <v>9.2472025551113404E-2</v>
      </c>
      <c r="J407" s="654">
        <v>5.5122506867978503E-2</v>
      </c>
      <c r="K407" s="654">
        <v>8.5051258571013796E-2</v>
      </c>
      <c r="L407" s="654">
        <v>3.3946239921381197E-2</v>
      </c>
      <c r="M407" s="654">
        <v>2.7954905858441501E-2</v>
      </c>
      <c r="N407" s="743"/>
      <c r="O407" s="623"/>
      <c r="P407" s="652"/>
      <c r="Q407" s="655"/>
      <c r="R407" s="653"/>
      <c r="S407" s="653"/>
      <c r="T407" s="653"/>
      <c r="U407" s="653"/>
      <c r="V407" s="653"/>
      <c r="W407" s="653"/>
      <c r="X407" s="653"/>
      <c r="Y407" s="656"/>
      <c r="Z407" s="657"/>
      <c r="AA407" s="657"/>
      <c r="AB407" s="657"/>
    </row>
    <row r="408" spans="1:28">
      <c r="A408" s="643" t="s">
        <v>344</v>
      </c>
      <c r="B408" s="1067">
        <v>90165</v>
      </c>
      <c r="C408" s="644">
        <v>14965</v>
      </c>
      <c r="D408" s="644">
        <v>14425</v>
      </c>
      <c r="E408" s="644">
        <v>4863</v>
      </c>
      <c r="F408" s="644">
        <v>6915</v>
      </c>
      <c r="G408" s="645" t="s">
        <v>68</v>
      </c>
      <c r="H408" s="644">
        <v>13168</v>
      </c>
      <c r="I408" s="644">
        <v>7571</v>
      </c>
      <c r="J408" s="646">
        <v>3677</v>
      </c>
      <c r="K408" s="647">
        <v>3595</v>
      </c>
      <c r="L408" s="647">
        <v>3595</v>
      </c>
      <c r="M408" s="647">
        <v>2863</v>
      </c>
      <c r="N408" s="646"/>
      <c r="O408" s="623"/>
      <c r="P408" s="643" t="s">
        <v>344</v>
      </c>
      <c r="Q408" s="651">
        <v>4.8868788487131498E-2</v>
      </c>
      <c r="R408" s="649">
        <v>0.221917808219178</v>
      </c>
      <c r="S408" s="649">
        <v>0.196256499133449</v>
      </c>
      <c r="T408" s="649">
        <v>0.336623483446432</v>
      </c>
      <c r="U408" s="649">
        <v>0.25712219812002901</v>
      </c>
      <c r="V408" s="645" t="s">
        <v>68</v>
      </c>
      <c r="W408" s="649">
        <v>0.19008201701093599</v>
      </c>
      <c r="X408" s="649">
        <v>0.23035266147140401</v>
      </c>
      <c r="Y408" s="650">
        <v>0.55507206962197397</v>
      </c>
      <c r="Z408" s="651">
        <v>0.334631432545202</v>
      </c>
      <c r="AA408" s="651">
        <v>0.334631432545202</v>
      </c>
      <c r="AB408" s="651">
        <v>0.33566189311910599</v>
      </c>
    </row>
    <row r="409" spans="1:28">
      <c r="A409" s="652"/>
      <c r="B409" s="1066"/>
      <c r="C409" s="653">
        <v>0.16597349304053699</v>
      </c>
      <c r="D409" s="653">
        <v>0.159984472910775</v>
      </c>
      <c r="E409" s="653">
        <v>5.3934453501913199E-2</v>
      </c>
      <c r="F409" s="653">
        <v>7.6692729995009104E-2</v>
      </c>
      <c r="G409" s="653"/>
      <c r="H409" s="653">
        <v>0.146043364942051</v>
      </c>
      <c r="I409" s="653">
        <v>8.3968280374868295E-2</v>
      </c>
      <c r="J409" s="654">
        <v>4.0780790772472701E-2</v>
      </c>
      <c r="K409" s="654">
        <v>3.9871346974990299E-2</v>
      </c>
      <c r="L409" s="654">
        <v>3.9871346974990299E-2</v>
      </c>
      <c r="M409" s="654">
        <v>3.1752897465757199E-2</v>
      </c>
      <c r="N409" s="743"/>
      <c r="O409" s="623"/>
      <c r="P409" s="652"/>
      <c r="Q409" s="655"/>
      <c r="R409" s="653"/>
      <c r="S409" s="653"/>
      <c r="T409" s="653"/>
      <c r="U409" s="653"/>
      <c r="V409" s="659"/>
      <c r="W409" s="653"/>
      <c r="X409" s="653"/>
      <c r="Y409" s="656"/>
      <c r="Z409" s="657"/>
      <c r="AA409" s="657"/>
      <c r="AB409" s="657"/>
    </row>
    <row r="410" spans="1:28">
      <c r="A410" s="643" t="s">
        <v>347</v>
      </c>
      <c r="B410" s="1067">
        <v>184758</v>
      </c>
      <c r="C410" s="644">
        <v>71973</v>
      </c>
      <c r="D410" s="644">
        <v>59690</v>
      </c>
      <c r="E410" s="644">
        <v>53327</v>
      </c>
      <c r="F410" s="644">
        <v>34209</v>
      </c>
      <c r="G410" s="644">
        <v>15117</v>
      </c>
      <c r="H410" s="658" t="s">
        <v>68</v>
      </c>
      <c r="I410" s="644">
        <v>24386</v>
      </c>
      <c r="J410" s="646">
        <v>48440</v>
      </c>
      <c r="K410" s="647">
        <v>30627</v>
      </c>
      <c r="L410" s="647">
        <v>12467</v>
      </c>
      <c r="M410" s="647">
        <v>9839</v>
      </c>
      <c r="N410" s="646"/>
      <c r="O410" s="623"/>
      <c r="P410" s="643" t="s">
        <v>347</v>
      </c>
      <c r="Q410" s="651">
        <v>0.22696769401082501</v>
      </c>
      <c r="R410" s="649">
        <v>0.67694830005696605</v>
      </c>
      <c r="S410" s="649">
        <v>0.71281621712179599</v>
      </c>
      <c r="T410" s="649">
        <v>0.752433101430795</v>
      </c>
      <c r="U410" s="649">
        <v>0.75611681136542996</v>
      </c>
      <c r="V410" s="649">
        <v>0.82231924323609196</v>
      </c>
      <c r="W410" s="658" t="s">
        <v>68</v>
      </c>
      <c r="X410" s="649">
        <v>0.76576724350036895</v>
      </c>
      <c r="Y410" s="650">
        <v>0.74636663914120605</v>
      </c>
      <c r="Z410" s="651">
        <v>0.79883762693048599</v>
      </c>
      <c r="AA410" s="651">
        <v>0.83989732894842395</v>
      </c>
      <c r="AB410" s="651">
        <v>0.84002439272283802</v>
      </c>
    </row>
    <row r="411" spans="1:28">
      <c r="A411" s="652"/>
      <c r="B411" s="1077"/>
      <c r="C411" s="653">
        <v>0.38955282044620498</v>
      </c>
      <c r="D411" s="653">
        <v>0.32307126078437698</v>
      </c>
      <c r="E411" s="653">
        <v>0.28863161541042898</v>
      </c>
      <c r="F411" s="653">
        <v>0.185155717208456</v>
      </c>
      <c r="G411" s="653">
        <v>8.1820543630045803E-2</v>
      </c>
      <c r="H411" s="653"/>
      <c r="I411" s="653">
        <v>0.13198887192976799</v>
      </c>
      <c r="J411" s="654">
        <v>0.26218079866636401</v>
      </c>
      <c r="K411" s="654">
        <v>0.165768194070081</v>
      </c>
      <c r="L411" s="654">
        <v>6.7477456997802499E-2</v>
      </c>
      <c r="M411" s="654">
        <v>5.3253445047034498E-2</v>
      </c>
      <c r="N411" s="743"/>
      <c r="O411" s="623"/>
      <c r="P411" s="652"/>
      <c r="Q411" s="661"/>
      <c r="R411" s="653"/>
      <c r="S411" s="653"/>
      <c r="T411" s="653"/>
      <c r="U411" s="653"/>
      <c r="V411" s="653"/>
      <c r="W411" s="738"/>
      <c r="X411" s="653"/>
      <c r="Y411" s="656"/>
      <c r="Z411" s="657"/>
      <c r="AA411" s="657"/>
      <c r="AB411" s="657"/>
    </row>
    <row r="412" spans="1:28">
      <c r="A412" s="643" t="s">
        <v>122</v>
      </c>
      <c r="B412" s="1067">
        <v>56637</v>
      </c>
      <c r="C412" s="644">
        <v>2337</v>
      </c>
      <c r="D412" s="644">
        <v>2028</v>
      </c>
      <c r="E412" s="644">
        <v>875</v>
      </c>
      <c r="F412" s="644">
        <v>523</v>
      </c>
      <c r="G412" s="644">
        <v>254</v>
      </c>
      <c r="H412" s="644">
        <v>1711</v>
      </c>
      <c r="I412" s="658" t="s">
        <v>68</v>
      </c>
      <c r="J412" s="646">
        <v>877</v>
      </c>
      <c r="K412" s="647">
        <v>357</v>
      </c>
      <c r="L412" s="647">
        <v>148</v>
      </c>
      <c r="M412" s="647">
        <v>148</v>
      </c>
      <c r="N412" s="646"/>
      <c r="O412" s="623"/>
      <c r="P412" s="643" t="s">
        <v>122</v>
      </c>
      <c r="Q412" s="651">
        <v>3.0667951188182399E-2</v>
      </c>
      <c r="R412" s="649">
        <v>0.50834403080872903</v>
      </c>
      <c r="S412" s="649">
        <v>0.45266272189349099</v>
      </c>
      <c r="T412" s="649">
        <v>0.67200000000000004</v>
      </c>
      <c r="U412" s="649">
        <v>0.77629063097514295</v>
      </c>
      <c r="V412" s="649">
        <v>0.83858267716535395</v>
      </c>
      <c r="W412" s="649">
        <v>0.46347165400350698</v>
      </c>
      <c r="X412" s="658" t="s">
        <v>68</v>
      </c>
      <c r="Y412" s="650">
        <v>0.82782212086659102</v>
      </c>
      <c r="Z412" s="651">
        <v>0.87955182072829097</v>
      </c>
      <c r="AA412" s="651">
        <v>0.95945945945945899</v>
      </c>
      <c r="AB412" s="651">
        <v>0.95945945945945899</v>
      </c>
    </row>
    <row r="413" spans="1:28">
      <c r="A413" s="662"/>
      <c r="B413" s="1078"/>
      <c r="C413" s="663">
        <v>4.12627787488744E-2</v>
      </c>
      <c r="D413" s="664">
        <v>3.5806981301975703E-2</v>
      </c>
      <c r="E413" s="664">
        <v>1.54492646150043E-2</v>
      </c>
      <c r="F413" s="664">
        <v>9.2342461641683003E-3</v>
      </c>
      <c r="G413" s="664">
        <v>4.4847008139555396E-3</v>
      </c>
      <c r="H413" s="664">
        <v>3.02099334357399E-2</v>
      </c>
      <c r="I413" s="664"/>
      <c r="J413" s="665">
        <v>1.54845772198386E-2</v>
      </c>
      <c r="K413" s="666">
        <v>6.3032999629217597E-3</v>
      </c>
      <c r="L413" s="666">
        <v>2.6131327577378701E-3</v>
      </c>
      <c r="M413" s="666">
        <v>2.6131327577378701E-3</v>
      </c>
      <c r="N413" s="743"/>
      <c r="O413" s="623"/>
      <c r="P413" s="662"/>
      <c r="Q413" s="667"/>
      <c r="R413" s="664"/>
      <c r="S413" s="664"/>
      <c r="T413" s="664"/>
      <c r="U413" s="664"/>
      <c r="V413" s="664"/>
      <c r="W413" s="664"/>
      <c r="X413" s="664"/>
      <c r="Y413" s="665"/>
      <c r="Z413" s="666"/>
      <c r="AA413" s="666"/>
      <c r="AB413" s="666"/>
    </row>
    <row r="414" spans="1:28">
      <c r="A414" s="668" t="s">
        <v>348</v>
      </c>
      <c r="B414" s="744">
        <v>814873</v>
      </c>
      <c r="C414" s="670">
        <v>209701</v>
      </c>
      <c r="D414" s="670">
        <v>192015</v>
      </c>
      <c r="E414" s="670">
        <v>91141</v>
      </c>
      <c r="F414" s="670">
        <v>64281</v>
      </c>
      <c r="G414" s="670">
        <v>45505</v>
      </c>
      <c r="H414" s="670">
        <v>121268</v>
      </c>
      <c r="I414" s="670">
        <v>84219</v>
      </c>
      <c r="J414" s="671">
        <v>94749</v>
      </c>
      <c r="K414" s="672">
        <v>86149</v>
      </c>
      <c r="L414" s="672">
        <v>36457</v>
      </c>
      <c r="M414" s="672">
        <v>29791</v>
      </c>
      <c r="N414" s="671"/>
      <c r="O414" s="623"/>
      <c r="P414" s="668" t="s">
        <v>348</v>
      </c>
      <c r="Q414" s="673">
        <v>0.15073702881708401</v>
      </c>
      <c r="R414" s="674">
        <v>0.51444199121606504</v>
      </c>
      <c r="S414" s="674">
        <v>0.50661667057261195</v>
      </c>
      <c r="T414" s="674">
        <v>0.63056143777224305</v>
      </c>
      <c r="U414" s="674">
        <v>0.70823415939391099</v>
      </c>
      <c r="V414" s="674">
        <v>0.67555213712778805</v>
      </c>
      <c r="W414" s="674">
        <v>0.42022627568690801</v>
      </c>
      <c r="X414" s="674">
        <v>0.57621201866562199</v>
      </c>
      <c r="Y414" s="675">
        <v>0.71471994427381802</v>
      </c>
      <c r="Z414" s="673">
        <v>0.66185330067673498</v>
      </c>
      <c r="AA414" s="673">
        <v>0.72765175412129401</v>
      </c>
      <c r="AB414" s="673">
        <v>0.72521902588029896</v>
      </c>
    </row>
    <row r="415" spans="1:28">
      <c r="A415" s="676" t="s">
        <v>349</v>
      </c>
      <c r="B415" s="677"/>
      <c r="C415" s="682">
        <v>0.25734194162771401</v>
      </c>
      <c r="D415" s="682">
        <v>0.23563794603576299</v>
      </c>
      <c r="E415" s="682">
        <v>0.111846876752574</v>
      </c>
      <c r="F415" s="682">
        <v>7.8884685098168705E-2</v>
      </c>
      <c r="G415" s="682">
        <v>5.5843057752557802E-2</v>
      </c>
      <c r="H415" s="682">
        <v>0.14881828211267301</v>
      </c>
      <c r="I415" s="682">
        <v>0.103352301524287</v>
      </c>
      <c r="J415" s="683">
        <v>0.116274560575697</v>
      </c>
      <c r="K415" s="684">
        <v>0.105720768757831</v>
      </c>
      <c r="L415" s="684">
        <v>4.47394870120865E-2</v>
      </c>
      <c r="M415" s="684">
        <v>3.6559071168145198E-2</v>
      </c>
      <c r="N415" s="706"/>
      <c r="O415" s="623"/>
      <c r="P415" s="676" t="s">
        <v>349</v>
      </c>
      <c r="Q415" s="681"/>
      <c r="R415" s="682"/>
      <c r="S415" s="682"/>
      <c r="T415" s="682"/>
      <c r="U415" s="682"/>
      <c r="V415" s="682"/>
      <c r="W415" s="682"/>
      <c r="X415" s="682"/>
      <c r="Y415" s="683"/>
      <c r="Z415" s="684"/>
      <c r="AA415" s="684"/>
      <c r="AB415" s="684"/>
    </row>
    <row r="416" spans="1:28">
      <c r="A416" s="643" t="s">
        <v>51</v>
      </c>
      <c r="B416" s="1067">
        <v>58298</v>
      </c>
      <c r="C416" s="644">
        <v>13157</v>
      </c>
      <c r="D416" s="644">
        <v>13157</v>
      </c>
      <c r="E416" s="644">
        <v>4050</v>
      </c>
      <c r="F416" s="644">
        <v>2619</v>
      </c>
      <c r="G416" s="644">
        <v>839</v>
      </c>
      <c r="H416" s="644">
        <v>12051</v>
      </c>
      <c r="I416" s="644">
        <v>1600</v>
      </c>
      <c r="J416" s="685" t="s">
        <v>68</v>
      </c>
      <c r="K416" s="686">
        <v>1446</v>
      </c>
      <c r="L416" s="686">
        <v>527</v>
      </c>
      <c r="M416" s="686">
        <v>409</v>
      </c>
      <c r="N416" s="646"/>
      <c r="O416" s="623"/>
      <c r="P416" s="643" t="s">
        <v>51</v>
      </c>
      <c r="Q416" s="651">
        <v>8.2779065789973794E-2</v>
      </c>
      <c r="R416" s="649">
        <v>0.30698487497149801</v>
      </c>
      <c r="S416" s="649">
        <v>0.30698487497149801</v>
      </c>
      <c r="T416" s="649">
        <v>0.75086419753086397</v>
      </c>
      <c r="U416" s="649">
        <v>0.55059182894234404</v>
      </c>
      <c r="V416" s="649">
        <v>0.69845053635280097</v>
      </c>
      <c r="W416" s="649">
        <v>0.287279063978093</v>
      </c>
      <c r="X416" s="649">
        <v>0.88937500000000003</v>
      </c>
      <c r="Y416" s="658" t="s">
        <v>68</v>
      </c>
      <c r="Z416" s="651">
        <v>0.82226832641770398</v>
      </c>
      <c r="AA416" s="651">
        <v>0.90512333965844405</v>
      </c>
      <c r="AB416" s="651">
        <v>0.97555012224938897</v>
      </c>
    </row>
    <row r="417" spans="1:28">
      <c r="A417" s="687"/>
      <c r="B417" s="1064"/>
      <c r="C417" s="688">
        <v>0.225685272222032</v>
      </c>
      <c r="D417" s="688">
        <v>0.225685272222032</v>
      </c>
      <c r="E417" s="688">
        <v>6.9470650794195302E-2</v>
      </c>
      <c r="F417" s="688">
        <v>4.4924354180246297E-2</v>
      </c>
      <c r="G417" s="688">
        <v>1.4391574325019699E-2</v>
      </c>
      <c r="H417" s="688">
        <v>0.206713780918728</v>
      </c>
      <c r="I417" s="688">
        <v>2.74451953754846E-2</v>
      </c>
      <c r="J417" s="689"/>
      <c r="K417" s="690">
        <v>2.4803595320594202E-2</v>
      </c>
      <c r="L417" s="690">
        <v>9.03976122680023E-3</v>
      </c>
      <c r="M417" s="690">
        <v>7.0156780678582503E-3</v>
      </c>
      <c r="N417" s="743"/>
      <c r="O417" s="623"/>
      <c r="P417" s="687"/>
      <c r="Q417" s="642"/>
      <c r="R417" s="688"/>
      <c r="S417" s="688"/>
      <c r="T417" s="688"/>
      <c r="U417" s="688"/>
      <c r="V417" s="688"/>
      <c r="W417" s="688"/>
      <c r="X417" s="688"/>
      <c r="Y417" s="689"/>
      <c r="Z417" s="690"/>
      <c r="AA417" s="690"/>
      <c r="AB417" s="690"/>
    </row>
    <row r="418" spans="1:28">
      <c r="A418" s="668" t="s">
        <v>350</v>
      </c>
      <c r="B418" s="691">
        <v>873171</v>
      </c>
      <c r="C418" s="692">
        <v>222858</v>
      </c>
      <c r="D418" s="693">
        <v>205172</v>
      </c>
      <c r="E418" s="693">
        <v>95191</v>
      </c>
      <c r="F418" s="693">
        <v>66900</v>
      </c>
      <c r="G418" s="693">
        <v>46344</v>
      </c>
      <c r="H418" s="693">
        <v>133319</v>
      </c>
      <c r="I418" s="693">
        <v>85819</v>
      </c>
      <c r="J418" s="694">
        <v>94749</v>
      </c>
      <c r="K418" s="695">
        <v>87595</v>
      </c>
      <c r="L418" s="695">
        <v>36984</v>
      </c>
      <c r="M418" s="695">
        <v>30200</v>
      </c>
      <c r="N418" s="745"/>
      <c r="O418" s="623"/>
      <c r="P418" s="668" t="s">
        <v>350</v>
      </c>
      <c r="Q418" s="696">
        <v>0.14534324249045499</v>
      </c>
      <c r="R418" s="697">
        <v>0.50219422232991395</v>
      </c>
      <c r="S418" s="698">
        <v>0.49381494550913402</v>
      </c>
      <c r="T418" s="698">
        <v>0.63567984368270103</v>
      </c>
      <c r="U418" s="698">
        <v>0.702062780269058</v>
      </c>
      <c r="V418" s="698">
        <v>0.67596668392888004</v>
      </c>
      <c r="W418" s="698">
        <v>0.40820888245486397</v>
      </c>
      <c r="X418" s="698">
        <v>0.58205059485661703</v>
      </c>
      <c r="Y418" s="699">
        <v>0.71471994427381802</v>
      </c>
      <c r="Z418" s="700">
        <v>0.66450139848164802</v>
      </c>
      <c r="AA418" s="700">
        <v>0.730180618645901</v>
      </c>
      <c r="AB418" s="700">
        <v>0.728609271523179</v>
      </c>
    </row>
    <row r="419" spans="1:28" ht="15.75" thickBot="1">
      <c r="A419" s="701"/>
      <c r="B419" s="740"/>
      <c r="C419" s="703">
        <v>0.255228357332069</v>
      </c>
      <c r="D419" s="703">
        <v>0.23497344735452699</v>
      </c>
      <c r="E419" s="703">
        <v>0.109017592201298</v>
      </c>
      <c r="F419" s="703">
        <v>7.6617294894127302E-2</v>
      </c>
      <c r="G419" s="703">
        <v>5.3075514418138001E-2</v>
      </c>
      <c r="H419" s="703">
        <v>0.152683724035727</v>
      </c>
      <c r="I419" s="703">
        <v>9.8284299409852102E-2</v>
      </c>
      <c r="J419" s="704">
        <v>0.108511391239517</v>
      </c>
      <c r="K419" s="705">
        <v>0.10031826526533701</v>
      </c>
      <c r="L419" s="705">
        <v>4.2355964639228701E-2</v>
      </c>
      <c r="M419" s="705">
        <v>3.4586581551609E-2</v>
      </c>
      <c r="N419" s="706"/>
      <c r="O419" s="623"/>
      <c r="P419" s="701"/>
      <c r="Q419" s="702"/>
      <c r="R419" s="703"/>
      <c r="S419" s="703"/>
      <c r="T419" s="703"/>
      <c r="U419" s="703"/>
      <c r="V419" s="703"/>
      <c r="W419" s="703"/>
      <c r="X419" s="703"/>
      <c r="Y419" s="704"/>
      <c r="Z419" s="705"/>
      <c r="AA419" s="705"/>
      <c r="AB419" s="705"/>
    </row>
    <row r="420" spans="1:28">
      <c r="A420" s="627"/>
      <c r="B420" s="627"/>
      <c r="C420" s="627"/>
      <c r="D420" s="627"/>
      <c r="E420" s="627"/>
      <c r="F420" s="627"/>
      <c r="G420" s="627"/>
      <c r="H420" s="965"/>
      <c r="I420" s="965"/>
      <c r="J420" s="965"/>
      <c r="K420" s="965"/>
      <c r="L420" s="965"/>
      <c r="M420" s="965"/>
      <c r="N420" s="627"/>
      <c r="O420" s="627"/>
      <c r="P420" s="627"/>
      <c r="Q420" s="627"/>
      <c r="R420" s="627"/>
      <c r="S420" s="627"/>
      <c r="T420" s="627"/>
      <c r="U420" s="627"/>
      <c r="V420" s="965"/>
      <c r="W420" s="965"/>
      <c r="X420" s="965"/>
      <c r="Y420" s="965"/>
      <c r="Z420" s="965"/>
      <c r="AA420" s="965"/>
      <c r="AB420" s="965"/>
    </row>
    <row r="421" spans="1:28">
      <c r="A421" s="623"/>
      <c r="B421" s="964"/>
      <c r="C421" s="627"/>
      <c r="D421" s="627"/>
      <c r="E421" s="627"/>
      <c r="F421" s="627"/>
      <c r="G421" s="965"/>
      <c r="H421" s="965"/>
      <c r="I421" s="965"/>
      <c r="J421" s="965"/>
      <c r="K421" s="965"/>
      <c r="L421" s="965"/>
      <c r="M421" s="965"/>
      <c r="N421" s="965"/>
      <c r="O421" s="627"/>
      <c r="P421" s="623" t="s">
        <v>355</v>
      </c>
      <c r="Q421" s="623" t="s">
        <v>356</v>
      </c>
      <c r="R421" s="627"/>
      <c r="S421" s="627"/>
      <c r="T421" s="627"/>
      <c r="U421" s="627"/>
      <c r="V421" s="965"/>
      <c r="W421" s="965"/>
      <c r="X421" s="965"/>
      <c r="Y421" s="965"/>
      <c r="Z421" s="965"/>
      <c r="AA421" s="965"/>
      <c r="AB421" s="965"/>
    </row>
    <row r="422" spans="1:28">
      <c r="A422" s="625" t="s">
        <v>324</v>
      </c>
      <c r="B422" s="626"/>
      <c r="C422" s="625">
        <v>2002</v>
      </c>
      <c r="D422" s="623"/>
      <c r="E422" s="623"/>
      <c r="F422" s="623"/>
      <c r="G422" s="623"/>
      <c r="H422" s="623"/>
      <c r="I422" s="623"/>
      <c r="J422" s="623"/>
      <c r="K422" s="623"/>
      <c r="L422" s="623"/>
      <c r="M422" s="623"/>
      <c r="N422" s="623"/>
      <c r="O422" s="623"/>
      <c r="P422" s="625" t="s">
        <v>324</v>
      </c>
      <c r="Q422" s="625"/>
      <c r="R422" s="625">
        <v>2002</v>
      </c>
      <c r="S422" s="623"/>
      <c r="T422" s="623"/>
      <c r="U422" s="623"/>
      <c r="V422" s="627"/>
      <c r="W422" s="627"/>
      <c r="X422" s="627"/>
      <c r="Y422" s="627"/>
      <c r="Z422" s="627"/>
      <c r="AA422" s="627"/>
      <c r="AB422" s="627"/>
    </row>
    <row r="423" spans="1:28" ht="15.75" thickBot="1">
      <c r="A423" s="623"/>
      <c r="B423" s="964"/>
      <c r="C423" s="623"/>
      <c r="D423" s="623"/>
      <c r="E423" s="623"/>
      <c r="F423" s="623"/>
      <c r="G423" s="627"/>
      <c r="H423" s="627"/>
      <c r="I423" s="627"/>
      <c r="J423" s="627"/>
      <c r="K423" s="627"/>
      <c r="L423" s="627"/>
      <c r="M423" s="627"/>
      <c r="N423" s="627"/>
      <c r="O423" s="623"/>
      <c r="P423" s="623"/>
      <c r="Q423" s="623"/>
      <c r="R423" s="623"/>
      <c r="S423" s="623"/>
      <c r="T423" s="623"/>
      <c r="U423" s="623"/>
      <c r="V423" s="627"/>
      <c r="W423" s="627"/>
      <c r="X423" s="627"/>
      <c r="Y423" s="627"/>
      <c r="Z423" s="627"/>
      <c r="AA423" s="627"/>
      <c r="AB423" s="627"/>
    </row>
    <row r="424" spans="1:28">
      <c r="A424" s="629" t="s">
        <v>325</v>
      </c>
      <c r="B424" s="630" t="s">
        <v>326</v>
      </c>
      <c r="C424" s="631"/>
      <c r="D424" s="631"/>
      <c r="E424" s="631" t="s">
        <v>327</v>
      </c>
      <c r="F424" s="631"/>
      <c r="G424" s="631"/>
      <c r="H424" s="631"/>
      <c r="I424" s="631"/>
      <c r="J424" s="631"/>
      <c r="K424" s="629" t="s">
        <v>328</v>
      </c>
      <c r="L424" s="629" t="s">
        <v>329</v>
      </c>
      <c r="M424" s="629" t="s">
        <v>330</v>
      </c>
      <c r="N424" s="741"/>
      <c r="O424" s="623"/>
      <c r="P424" s="629" t="s">
        <v>325</v>
      </c>
      <c r="Q424" s="632" t="s">
        <v>326</v>
      </c>
      <c r="R424" s="631"/>
      <c r="S424" s="631"/>
      <c r="T424" s="631" t="s">
        <v>331</v>
      </c>
      <c r="U424" s="631"/>
      <c r="V424" s="631"/>
      <c r="W424" s="631"/>
      <c r="X424" s="631"/>
      <c r="Y424" s="631"/>
      <c r="Z424" s="629" t="s">
        <v>328</v>
      </c>
      <c r="AA424" s="629" t="s">
        <v>329</v>
      </c>
      <c r="AB424" s="629" t="s">
        <v>330</v>
      </c>
    </row>
    <row r="425" spans="1:28">
      <c r="A425" s="633" t="s">
        <v>332</v>
      </c>
      <c r="B425" s="1063" t="s">
        <v>333</v>
      </c>
      <c r="C425" s="634"/>
      <c r="D425" s="634"/>
      <c r="E425" s="634" t="s">
        <v>334</v>
      </c>
      <c r="F425" s="634"/>
      <c r="G425" s="634"/>
      <c r="H425" s="634"/>
      <c r="I425" s="634"/>
      <c r="J425" s="634"/>
      <c r="K425" s="635" t="s">
        <v>335</v>
      </c>
      <c r="L425" s="635" t="s">
        <v>335</v>
      </c>
      <c r="M425" s="635" t="s">
        <v>335</v>
      </c>
      <c r="N425" s="741"/>
      <c r="O425" s="623"/>
      <c r="P425" s="633" t="s">
        <v>332</v>
      </c>
      <c r="Q425" s="636" t="s">
        <v>333</v>
      </c>
      <c r="R425" s="634"/>
      <c r="S425" s="634"/>
      <c r="T425" s="634" t="s">
        <v>336</v>
      </c>
      <c r="U425" s="634"/>
      <c r="V425" s="634"/>
      <c r="W425" s="634"/>
      <c r="X425" s="634"/>
      <c r="Y425" s="634"/>
      <c r="Z425" s="635" t="s">
        <v>335</v>
      </c>
      <c r="AA425" s="635" t="s">
        <v>335</v>
      </c>
      <c r="AB425" s="635" t="s">
        <v>335</v>
      </c>
    </row>
    <row r="426" spans="1:28">
      <c r="A426" s="633" t="s">
        <v>337</v>
      </c>
      <c r="B426" s="1063" t="s">
        <v>53</v>
      </c>
      <c r="C426" s="637" t="s">
        <v>338</v>
      </c>
      <c r="D426" s="637" t="s">
        <v>339</v>
      </c>
      <c r="E426" s="637"/>
      <c r="F426" s="637"/>
      <c r="G426" s="637"/>
      <c r="H426" s="637"/>
      <c r="I426" s="637"/>
      <c r="J426" s="638" t="s">
        <v>164</v>
      </c>
      <c r="K426" s="633" t="s">
        <v>340</v>
      </c>
      <c r="L426" s="633" t="s">
        <v>341</v>
      </c>
      <c r="M426" s="633" t="s">
        <v>341</v>
      </c>
      <c r="N426" s="742"/>
      <c r="O426" s="623"/>
      <c r="P426" s="633" t="s">
        <v>337</v>
      </c>
      <c r="Q426" s="636" t="s">
        <v>53</v>
      </c>
      <c r="R426" s="637" t="s">
        <v>338</v>
      </c>
      <c r="S426" s="637" t="s">
        <v>339</v>
      </c>
      <c r="T426" s="637"/>
      <c r="U426" s="637"/>
      <c r="V426" s="637"/>
      <c r="W426" s="637"/>
      <c r="X426" s="637"/>
      <c r="Y426" s="638" t="s">
        <v>164</v>
      </c>
      <c r="Z426" s="633" t="s">
        <v>340</v>
      </c>
      <c r="AA426" s="633" t="s">
        <v>341</v>
      </c>
      <c r="AB426" s="633" t="s">
        <v>341</v>
      </c>
    </row>
    <row r="427" spans="1:28">
      <c r="A427" s="639"/>
      <c r="B427" s="1064"/>
      <c r="C427" s="640" t="s">
        <v>342</v>
      </c>
      <c r="D427" s="640" t="s">
        <v>343</v>
      </c>
      <c r="E427" s="640" t="s">
        <v>127</v>
      </c>
      <c r="F427" s="640" t="s">
        <v>56</v>
      </c>
      <c r="G427" s="640" t="s">
        <v>344</v>
      </c>
      <c r="H427" s="640" t="s">
        <v>345</v>
      </c>
      <c r="I427" s="640" t="s">
        <v>122</v>
      </c>
      <c r="J427" s="634" t="s">
        <v>346</v>
      </c>
      <c r="K427" s="641" t="s">
        <v>361</v>
      </c>
      <c r="L427" s="641" t="s">
        <v>362</v>
      </c>
      <c r="M427" s="641" t="s">
        <v>363</v>
      </c>
      <c r="N427" s="741"/>
      <c r="O427" s="623"/>
      <c r="P427" s="639"/>
      <c r="Q427" s="642"/>
      <c r="R427" s="640" t="s">
        <v>342</v>
      </c>
      <c r="S427" s="640" t="s">
        <v>343</v>
      </c>
      <c r="T427" s="640" t="s">
        <v>127</v>
      </c>
      <c r="U427" s="640" t="s">
        <v>56</v>
      </c>
      <c r="V427" s="640" t="s">
        <v>344</v>
      </c>
      <c r="W427" s="640" t="s">
        <v>345</v>
      </c>
      <c r="X427" s="640" t="s">
        <v>122</v>
      </c>
      <c r="Y427" s="634" t="s">
        <v>346</v>
      </c>
      <c r="Z427" s="641" t="s">
        <v>361</v>
      </c>
      <c r="AA427" s="641" t="s">
        <v>362</v>
      </c>
      <c r="AB427" s="641" t="s">
        <v>363</v>
      </c>
    </row>
    <row r="428" spans="1:28">
      <c r="A428" s="643" t="s">
        <v>127</v>
      </c>
      <c r="B428" s="1065">
        <v>118120</v>
      </c>
      <c r="C428" s="644">
        <v>59140</v>
      </c>
      <c r="D428" s="644">
        <v>47406</v>
      </c>
      <c r="E428" s="645" t="s">
        <v>68</v>
      </c>
      <c r="F428" s="644">
        <v>22792</v>
      </c>
      <c r="G428" s="644">
        <v>8599</v>
      </c>
      <c r="H428" s="644">
        <v>44936</v>
      </c>
      <c r="I428" s="644">
        <v>16876</v>
      </c>
      <c r="J428" s="646">
        <v>40312</v>
      </c>
      <c r="K428" s="647">
        <v>21407</v>
      </c>
      <c r="L428" s="647">
        <v>7422</v>
      </c>
      <c r="M428" s="647">
        <v>6392</v>
      </c>
      <c r="N428" s="646"/>
      <c r="O428" s="623"/>
      <c r="P428" s="643" t="s">
        <v>127</v>
      </c>
      <c r="Q428" s="648">
        <v>0.32505434039125097</v>
      </c>
      <c r="R428" s="649">
        <v>0.68390260399053104</v>
      </c>
      <c r="S428" s="649">
        <v>0.62078639834620097</v>
      </c>
      <c r="T428" s="645" t="s">
        <v>68</v>
      </c>
      <c r="U428" s="649">
        <v>0.76434713934713905</v>
      </c>
      <c r="V428" s="649">
        <v>0.84253983021281498</v>
      </c>
      <c r="W428" s="649">
        <v>0.62326419797044696</v>
      </c>
      <c r="X428" s="649">
        <v>0.822825314055463</v>
      </c>
      <c r="Y428" s="650">
        <v>0.90114606072633496</v>
      </c>
      <c r="Z428" s="651">
        <v>0.77441958237959496</v>
      </c>
      <c r="AA428" s="651">
        <v>0.86203179735920199</v>
      </c>
      <c r="AB428" s="651">
        <v>0.89111389236545702</v>
      </c>
    </row>
    <row r="429" spans="1:28">
      <c r="A429" s="652"/>
      <c r="B429" s="1066"/>
      <c r="C429" s="653">
        <v>0.50067727734507295</v>
      </c>
      <c r="D429" s="653">
        <v>0.40133762275651902</v>
      </c>
      <c r="E429" s="653"/>
      <c r="F429" s="653">
        <v>0.19295631561124299</v>
      </c>
      <c r="G429" s="653">
        <v>7.2798848628513393E-2</v>
      </c>
      <c r="H429" s="653">
        <v>0.38042668472739599</v>
      </c>
      <c r="I429" s="653">
        <v>0.14287165594310899</v>
      </c>
      <c r="J429" s="654">
        <v>0.34128005418218799</v>
      </c>
      <c r="K429" s="654">
        <v>0.18123095157467001</v>
      </c>
      <c r="L429" s="654">
        <v>6.2834405689129694E-2</v>
      </c>
      <c r="M429" s="654">
        <v>5.41144598713173E-2</v>
      </c>
      <c r="N429" s="743"/>
      <c r="O429" s="623"/>
      <c r="P429" s="652"/>
      <c r="Q429" s="655"/>
      <c r="R429" s="653"/>
      <c r="S429" s="653"/>
      <c r="T429" s="653"/>
      <c r="U429" s="653"/>
      <c r="V429" s="653"/>
      <c r="W429" s="653"/>
      <c r="X429" s="653"/>
      <c r="Y429" s="656"/>
      <c r="Z429" s="657"/>
      <c r="AA429" s="657"/>
      <c r="AB429" s="657"/>
    </row>
    <row r="430" spans="1:28">
      <c r="A430" s="643" t="s">
        <v>56</v>
      </c>
      <c r="B430" s="1067">
        <v>365204</v>
      </c>
      <c r="C430" s="644">
        <v>67674</v>
      </c>
      <c r="D430" s="644">
        <v>64815</v>
      </c>
      <c r="E430" s="644">
        <v>31314</v>
      </c>
      <c r="F430" s="645" t="s">
        <v>68</v>
      </c>
      <c r="G430" s="644">
        <v>18816</v>
      </c>
      <c r="H430" s="644">
        <v>59478</v>
      </c>
      <c r="I430" s="644">
        <v>28972</v>
      </c>
      <c r="J430" s="646">
        <v>24334</v>
      </c>
      <c r="K430" s="647">
        <v>29670</v>
      </c>
      <c r="L430" s="647">
        <v>11329</v>
      </c>
      <c r="M430" s="647">
        <v>9666</v>
      </c>
      <c r="N430" s="646"/>
      <c r="O430" s="623"/>
      <c r="P430" s="643" t="s">
        <v>56</v>
      </c>
      <c r="Q430" s="651">
        <v>5.95009649247141E-2</v>
      </c>
      <c r="R430" s="649">
        <v>0.304784703135621</v>
      </c>
      <c r="S430" s="649">
        <v>0.28018205662269502</v>
      </c>
      <c r="T430" s="649">
        <v>0.44056971322730998</v>
      </c>
      <c r="U430" s="645" t="s">
        <v>68</v>
      </c>
      <c r="V430" s="649">
        <v>0.46630527210884398</v>
      </c>
      <c r="W430" s="649">
        <v>0.28339890379636201</v>
      </c>
      <c r="X430" s="649">
        <v>0.42948363937594902</v>
      </c>
      <c r="Y430" s="650">
        <v>0.62184597682255305</v>
      </c>
      <c r="Z430" s="651">
        <v>0.44539939332659301</v>
      </c>
      <c r="AA430" s="651">
        <v>0.60173007326330696</v>
      </c>
      <c r="AB430" s="651">
        <v>0.62973308504034797</v>
      </c>
    </row>
    <row r="431" spans="1:28">
      <c r="A431" s="652"/>
      <c r="B431" s="1066"/>
      <c r="C431" s="653">
        <v>0.185304651646751</v>
      </c>
      <c r="D431" s="653">
        <v>0.17747615031598801</v>
      </c>
      <c r="E431" s="653">
        <v>8.5743858227182598E-2</v>
      </c>
      <c r="F431" s="653"/>
      <c r="G431" s="653">
        <v>5.1521889135935001E-2</v>
      </c>
      <c r="H431" s="653">
        <v>0.16286240019276901</v>
      </c>
      <c r="I431" s="653">
        <v>7.9331004041576794E-2</v>
      </c>
      <c r="J431" s="654">
        <v>6.6631252669740806E-2</v>
      </c>
      <c r="K431" s="654">
        <v>8.1242264597321007E-2</v>
      </c>
      <c r="L431" s="654">
        <v>3.1021018389721901E-2</v>
      </c>
      <c r="M431" s="654">
        <v>2.64673990427268E-2</v>
      </c>
      <c r="N431" s="743"/>
      <c r="O431" s="623"/>
      <c r="P431" s="652"/>
      <c r="Q431" s="655"/>
      <c r="R431" s="653"/>
      <c r="S431" s="653"/>
      <c r="T431" s="653"/>
      <c r="U431" s="653"/>
      <c r="V431" s="653"/>
      <c r="W431" s="653"/>
      <c r="X431" s="653"/>
      <c r="Y431" s="656"/>
      <c r="Z431" s="657"/>
      <c r="AA431" s="657"/>
      <c r="AB431" s="657"/>
    </row>
    <row r="432" spans="1:28">
      <c r="A432" s="643" t="s">
        <v>344</v>
      </c>
      <c r="B432" s="1067">
        <v>76440</v>
      </c>
      <c r="C432" s="644">
        <v>11518</v>
      </c>
      <c r="D432" s="644">
        <v>10329</v>
      </c>
      <c r="E432" s="644">
        <v>3401</v>
      </c>
      <c r="F432" s="644">
        <v>5333</v>
      </c>
      <c r="G432" s="645" t="s">
        <v>68</v>
      </c>
      <c r="H432" s="644">
        <v>9494</v>
      </c>
      <c r="I432" s="644">
        <v>5285</v>
      </c>
      <c r="J432" s="646">
        <v>4331</v>
      </c>
      <c r="K432" s="647">
        <v>2540</v>
      </c>
      <c r="L432" s="647">
        <v>2540</v>
      </c>
      <c r="M432" s="647">
        <v>2060</v>
      </c>
      <c r="N432" s="646"/>
      <c r="O432" s="623"/>
      <c r="P432" s="643" t="s">
        <v>344</v>
      </c>
      <c r="Q432" s="651">
        <v>4.2021731168355503E-2</v>
      </c>
      <c r="R432" s="649">
        <v>0.28685535683278301</v>
      </c>
      <c r="S432" s="649">
        <v>0.209604027495401</v>
      </c>
      <c r="T432" s="649">
        <v>0.36312849162011201</v>
      </c>
      <c r="U432" s="649">
        <v>0.270204387774236</v>
      </c>
      <c r="V432" s="645" t="s">
        <v>68</v>
      </c>
      <c r="W432" s="649">
        <v>0.205919528123025</v>
      </c>
      <c r="X432" s="649">
        <v>0.28949858088930902</v>
      </c>
      <c r="Y432" s="650">
        <v>0.70815054259986099</v>
      </c>
      <c r="Z432" s="651">
        <v>0.37598425196850399</v>
      </c>
      <c r="AA432" s="651">
        <v>0.37598425196850399</v>
      </c>
      <c r="AB432" s="651">
        <v>0.41456310679611702</v>
      </c>
    </row>
    <row r="433" spans="1:28">
      <c r="A433" s="652"/>
      <c r="B433" s="1066"/>
      <c r="C433" s="653">
        <v>0.15068027210884399</v>
      </c>
      <c r="D433" s="653">
        <v>0.13512558869701699</v>
      </c>
      <c r="E433" s="653">
        <v>4.4492412349555199E-2</v>
      </c>
      <c r="F433" s="653">
        <v>6.9767137624280495E-2</v>
      </c>
      <c r="G433" s="653"/>
      <c r="H433" s="653">
        <v>0.124201988487703</v>
      </c>
      <c r="I433" s="653">
        <v>6.9139194139194102E-2</v>
      </c>
      <c r="J433" s="654">
        <v>5.6658817373103097E-2</v>
      </c>
      <c r="K433" s="654">
        <v>3.3228676085818899E-2</v>
      </c>
      <c r="L433" s="654">
        <v>3.3228676085818899E-2</v>
      </c>
      <c r="M433" s="654">
        <v>2.6949241234955498E-2</v>
      </c>
      <c r="N433" s="743"/>
      <c r="O433" s="623"/>
      <c r="P433" s="652"/>
      <c r="Q433" s="655"/>
      <c r="R433" s="653"/>
      <c r="S433" s="653"/>
      <c r="T433" s="653"/>
      <c r="U433" s="653"/>
      <c r="V433" s="659"/>
      <c r="W433" s="653"/>
      <c r="X433" s="653"/>
      <c r="Y433" s="656"/>
      <c r="Z433" s="657"/>
      <c r="AA433" s="657"/>
      <c r="AB433" s="657"/>
    </row>
    <row r="434" spans="1:28">
      <c r="A434" s="643" t="s">
        <v>347</v>
      </c>
      <c r="B434" s="1067">
        <v>179642</v>
      </c>
      <c r="C434" s="644">
        <v>81695</v>
      </c>
      <c r="D434" s="644">
        <v>57576</v>
      </c>
      <c r="E434" s="644">
        <v>52161</v>
      </c>
      <c r="F434" s="644">
        <v>32702</v>
      </c>
      <c r="G434" s="644">
        <v>12716</v>
      </c>
      <c r="H434" s="658" t="s">
        <v>68</v>
      </c>
      <c r="I434" s="644">
        <v>20869</v>
      </c>
      <c r="J434" s="646">
        <v>67862</v>
      </c>
      <c r="K434" s="647">
        <v>29433</v>
      </c>
      <c r="L434" s="647">
        <v>10665</v>
      </c>
      <c r="M434" s="647">
        <v>8723</v>
      </c>
      <c r="N434" s="646"/>
      <c r="O434" s="623"/>
      <c r="P434" s="643" t="s">
        <v>347</v>
      </c>
      <c r="Q434" s="651">
        <v>0.22632937686568599</v>
      </c>
      <c r="R434" s="649">
        <v>0.71516004651447496</v>
      </c>
      <c r="S434" s="649">
        <v>0.69832916492983199</v>
      </c>
      <c r="T434" s="649">
        <v>0.73535783439734703</v>
      </c>
      <c r="U434" s="649">
        <v>0.75016818543208397</v>
      </c>
      <c r="V434" s="649">
        <v>0.84554891475306704</v>
      </c>
      <c r="W434" s="658" t="s">
        <v>68</v>
      </c>
      <c r="X434" s="649">
        <v>0.80909482965163604</v>
      </c>
      <c r="Y434" s="650">
        <v>0.83052370988181901</v>
      </c>
      <c r="Z434" s="651">
        <v>0.79607923079536602</v>
      </c>
      <c r="AA434" s="651">
        <v>0.86179090482887999</v>
      </c>
      <c r="AB434" s="651">
        <v>0.892009629714548</v>
      </c>
    </row>
    <row r="435" spans="1:28">
      <c r="A435" s="652"/>
      <c r="B435" s="1077"/>
      <c r="C435" s="653">
        <v>0.45476558933879602</v>
      </c>
      <c r="D435" s="653">
        <v>0.32050411373732202</v>
      </c>
      <c r="E435" s="653">
        <v>0.29036082875942199</v>
      </c>
      <c r="F435" s="653">
        <v>0.18203983478251201</v>
      </c>
      <c r="G435" s="653">
        <v>7.0785228398704103E-2</v>
      </c>
      <c r="H435" s="653"/>
      <c r="I435" s="653">
        <v>0.116169937987776</v>
      </c>
      <c r="J435" s="654">
        <v>0.37776243862793801</v>
      </c>
      <c r="K435" s="654">
        <v>0.16384253125661</v>
      </c>
      <c r="L435" s="654">
        <v>5.9368076507720899E-2</v>
      </c>
      <c r="M435" s="654">
        <v>4.85576869551664E-2</v>
      </c>
      <c r="N435" s="743"/>
      <c r="O435" s="623"/>
      <c r="P435" s="652"/>
      <c r="Q435" s="661"/>
      <c r="R435" s="653"/>
      <c r="S435" s="653"/>
      <c r="T435" s="653"/>
      <c r="U435" s="653"/>
      <c r="V435" s="653"/>
      <c r="W435" s="738"/>
      <c r="X435" s="653"/>
      <c r="Y435" s="656"/>
      <c r="Z435" s="657"/>
      <c r="AA435" s="657"/>
      <c r="AB435" s="657"/>
    </row>
    <row r="436" spans="1:28">
      <c r="A436" s="643" t="s">
        <v>122</v>
      </c>
      <c r="B436" s="1067">
        <v>39671</v>
      </c>
      <c r="C436" s="644">
        <v>2111</v>
      </c>
      <c r="D436" s="644">
        <v>1418</v>
      </c>
      <c r="E436" s="644">
        <v>632</v>
      </c>
      <c r="F436" s="644">
        <v>413</v>
      </c>
      <c r="G436" s="644">
        <v>199</v>
      </c>
      <c r="H436" s="644">
        <v>1203</v>
      </c>
      <c r="I436" s="658" t="s">
        <v>68</v>
      </c>
      <c r="J436" s="646">
        <v>1348</v>
      </c>
      <c r="K436" s="647">
        <v>289</v>
      </c>
      <c r="L436" s="647">
        <v>125</v>
      </c>
      <c r="M436" s="647">
        <v>125</v>
      </c>
      <c r="N436" s="646"/>
      <c r="O436" s="623"/>
      <c r="P436" s="643" t="s">
        <v>122</v>
      </c>
      <c r="Q436" s="651">
        <v>3.29306554015662E-2</v>
      </c>
      <c r="R436" s="649">
        <v>0.60918995736617698</v>
      </c>
      <c r="S436" s="649">
        <v>0.44005641748942198</v>
      </c>
      <c r="T436" s="649">
        <v>0.594936708860759</v>
      </c>
      <c r="U436" s="649">
        <v>0.644067796610169</v>
      </c>
      <c r="V436" s="649">
        <v>0.79396984924623104</v>
      </c>
      <c r="W436" s="649">
        <v>0.45469659185369898</v>
      </c>
      <c r="X436" s="658" t="s">
        <v>68</v>
      </c>
      <c r="Y436" s="650">
        <v>0.90133531157269997</v>
      </c>
      <c r="Z436" s="651">
        <v>0.77508650519031097</v>
      </c>
      <c r="AA436" s="651">
        <v>0.93600000000000005</v>
      </c>
      <c r="AB436" s="651">
        <v>0.93600000000000005</v>
      </c>
    </row>
    <row r="437" spans="1:28">
      <c r="A437" s="662"/>
      <c r="B437" s="1078"/>
      <c r="C437" s="663">
        <v>5.3212674245670603E-2</v>
      </c>
      <c r="D437" s="664">
        <v>3.5743994353557997E-2</v>
      </c>
      <c r="E437" s="664">
        <v>1.5931032744322001E-2</v>
      </c>
      <c r="F437" s="664">
        <v>1.0410627410451E-2</v>
      </c>
      <c r="G437" s="664">
        <v>5.0162587280381098E-3</v>
      </c>
      <c r="H437" s="664">
        <v>3.03244183408535E-2</v>
      </c>
      <c r="I437" s="664"/>
      <c r="J437" s="665">
        <v>3.3979481233142601E-2</v>
      </c>
      <c r="K437" s="666">
        <v>7.2849184542865099E-3</v>
      </c>
      <c r="L437" s="666">
        <v>3.1509162864560999E-3</v>
      </c>
      <c r="M437" s="666">
        <v>3.1509162864560999E-3</v>
      </c>
      <c r="N437" s="743"/>
      <c r="O437" s="623"/>
      <c r="P437" s="662"/>
      <c r="Q437" s="667"/>
      <c r="R437" s="664"/>
      <c r="S437" s="664"/>
      <c r="T437" s="664"/>
      <c r="U437" s="664"/>
      <c r="V437" s="664"/>
      <c r="W437" s="664"/>
      <c r="X437" s="664"/>
      <c r="Y437" s="665"/>
      <c r="Z437" s="666"/>
      <c r="AA437" s="666"/>
      <c r="AB437" s="666"/>
    </row>
    <row r="438" spans="1:28">
      <c r="A438" s="668" t="s">
        <v>348</v>
      </c>
      <c r="B438" s="744">
        <v>779077</v>
      </c>
      <c r="C438" s="670">
        <v>222138</v>
      </c>
      <c r="D438" s="670">
        <v>181544</v>
      </c>
      <c r="E438" s="670">
        <v>87508</v>
      </c>
      <c r="F438" s="670">
        <v>61240</v>
      </c>
      <c r="G438" s="670">
        <v>40330</v>
      </c>
      <c r="H438" s="670">
        <v>115111</v>
      </c>
      <c r="I438" s="670">
        <v>72002</v>
      </c>
      <c r="J438" s="671">
        <v>138187</v>
      </c>
      <c r="K438" s="672">
        <v>83339</v>
      </c>
      <c r="L438" s="672">
        <v>32081</v>
      </c>
      <c r="M438" s="672">
        <v>26966</v>
      </c>
      <c r="N438" s="671"/>
      <c r="O438" s="623"/>
      <c r="P438" s="668" t="s">
        <v>348</v>
      </c>
      <c r="Q438" s="673">
        <v>0.14626256896470199</v>
      </c>
      <c r="R438" s="674">
        <v>0.55860321061682405</v>
      </c>
      <c r="S438" s="674">
        <v>0.49896994667959299</v>
      </c>
      <c r="T438" s="674">
        <v>0.61438954152763203</v>
      </c>
      <c r="U438" s="674">
        <v>0.71293272370999305</v>
      </c>
      <c r="V438" s="674">
        <v>0.66771634019340398</v>
      </c>
      <c r="W438" s="674">
        <v>0.41147240489614401</v>
      </c>
      <c r="X438" s="674">
        <v>0.62142718257826202</v>
      </c>
      <c r="Y438" s="675">
        <v>0.811234052407245</v>
      </c>
      <c r="Z438" s="673">
        <v>0.65279161017050802</v>
      </c>
      <c r="AA438" s="673">
        <v>0.73183504254854903</v>
      </c>
      <c r="AB438" s="673">
        <v>0.76151449974041396</v>
      </c>
    </row>
    <row r="439" spans="1:28">
      <c r="A439" s="676" t="s">
        <v>349</v>
      </c>
      <c r="B439" s="677"/>
      <c r="C439" s="682">
        <v>0.28512971118387498</v>
      </c>
      <c r="D439" s="682">
        <v>0.233024463563935</v>
      </c>
      <c r="E439" s="682">
        <v>0.112322658735914</v>
      </c>
      <c r="F439" s="682">
        <v>7.8605837420434699E-2</v>
      </c>
      <c r="G439" s="682">
        <v>5.1766385094156299E-2</v>
      </c>
      <c r="H439" s="682">
        <v>0.14775304623291399</v>
      </c>
      <c r="I439" s="682">
        <v>9.2419619626814803E-2</v>
      </c>
      <c r="J439" s="683">
        <v>0.17737271155482701</v>
      </c>
      <c r="K439" s="684">
        <v>0.106971454682913</v>
      </c>
      <c r="L439" s="684">
        <v>4.1178214733588597E-2</v>
      </c>
      <c r="M439" s="684">
        <v>3.4612753296529103E-2</v>
      </c>
      <c r="N439" s="706"/>
      <c r="O439" s="623"/>
      <c r="P439" s="676" t="s">
        <v>349</v>
      </c>
      <c r="Q439" s="681"/>
      <c r="R439" s="682"/>
      <c r="S439" s="682"/>
      <c r="T439" s="682"/>
      <c r="U439" s="682"/>
      <c r="V439" s="682"/>
      <c r="W439" s="682"/>
      <c r="X439" s="682"/>
      <c r="Y439" s="683"/>
      <c r="Z439" s="684"/>
      <c r="AA439" s="684"/>
      <c r="AB439" s="684"/>
    </row>
    <row r="440" spans="1:28">
      <c r="A440" s="643" t="s">
        <v>51</v>
      </c>
      <c r="B440" s="1067">
        <v>60141</v>
      </c>
      <c r="C440" s="644">
        <v>11656</v>
      </c>
      <c r="D440" s="644">
        <v>11656</v>
      </c>
      <c r="E440" s="644">
        <v>4052</v>
      </c>
      <c r="F440" s="644">
        <v>2606</v>
      </c>
      <c r="G440" s="644">
        <v>697</v>
      </c>
      <c r="H440" s="644">
        <v>10701</v>
      </c>
      <c r="I440" s="644">
        <v>1572</v>
      </c>
      <c r="J440" s="685" t="s">
        <v>68</v>
      </c>
      <c r="K440" s="686">
        <v>1641</v>
      </c>
      <c r="L440" s="686">
        <v>475</v>
      </c>
      <c r="M440" s="686">
        <v>397</v>
      </c>
      <c r="N440" s="646"/>
      <c r="O440" s="623"/>
      <c r="P440" s="643" t="s">
        <v>51</v>
      </c>
      <c r="Q440" s="651">
        <v>9.3387604638660596E-2</v>
      </c>
      <c r="R440" s="649">
        <v>0.33519217570350002</v>
      </c>
      <c r="S440" s="649">
        <v>0.33519217570350002</v>
      </c>
      <c r="T440" s="649">
        <v>0.71668311944718699</v>
      </c>
      <c r="U440" s="649">
        <v>0.58019953952417502</v>
      </c>
      <c r="V440" s="649">
        <v>0.74748923959827795</v>
      </c>
      <c r="W440" s="649">
        <v>0.32417531071862399</v>
      </c>
      <c r="X440" s="649">
        <v>0.87404580152671796</v>
      </c>
      <c r="Y440" s="658" t="s">
        <v>68</v>
      </c>
      <c r="Z440" s="651">
        <v>0.78488726386349805</v>
      </c>
      <c r="AA440" s="651">
        <v>0.888421052631579</v>
      </c>
      <c r="AB440" s="651">
        <v>0.94710327455919396</v>
      </c>
    </row>
    <row r="441" spans="1:28">
      <c r="A441" s="687"/>
      <c r="B441" s="1064"/>
      <c r="C441" s="688">
        <v>0.193811210322409</v>
      </c>
      <c r="D441" s="688">
        <v>0.193811210322409</v>
      </c>
      <c r="E441" s="688">
        <v>6.7375002078449001E-2</v>
      </c>
      <c r="F441" s="688">
        <v>4.3331504298232501E-2</v>
      </c>
      <c r="G441" s="688">
        <v>1.15894315026355E-2</v>
      </c>
      <c r="H441" s="688">
        <v>0.17793186012869799</v>
      </c>
      <c r="I441" s="688">
        <v>2.6138574350276899E-2</v>
      </c>
      <c r="J441" s="689"/>
      <c r="K441" s="690">
        <v>2.72858781862623E-2</v>
      </c>
      <c r="L441" s="690">
        <v>7.8981061172910295E-3</v>
      </c>
      <c r="M441" s="690">
        <v>6.6011539548727202E-3</v>
      </c>
      <c r="N441" s="743"/>
      <c r="O441" s="623"/>
      <c r="P441" s="687"/>
      <c r="Q441" s="642"/>
      <c r="R441" s="688"/>
      <c r="S441" s="688"/>
      <c r="T441" s="688"/>
      <c r="U441" s="688"/>
      <c r="V441" s="688"/>
      <c r="W441" s="688"/>
      <c r="X441" s="688"/>
      <c r="Y441" s="689"/>
      <c r="Z441" s="690"/>
      <c r="AA441" s="690"/>
      <c r="AB441" s="690"/>
    </row>
    <row r="442" spans="1:28">
      <c r="A442" s="668" t="s">
        <v>350</v>
      </c>
      <c r="B442" s="691">
        <v>839218</v>
      </c>
      <c r="C442" s="692">
        <v>233794</v>
      </c>
      <c r="D442" s="693">
        <v>193200</v>
      </c>
      <c r="E442" s="693">
        <v>91560</v>
      </c>
      <c r="F442" s="693">
        <v>63846</v>
      </c>
      <c r="G442" s="693">
        <v>41027</v>
      </c>
      <c r="H442" s="693">
        <v>125812</v>
      </c>
      <c r="I442" s="693">
        <v>73574</v>
      </c>
      <c r="J442" s="694">
        <v>138187</v>
      </c>
      <c r="K442" s="695">
        <v>84980</v>
      </c>
      <c r="L442" s="695">
        <v>32556</v>
      </c>
      <c r="M442" s="695">
        <v>27363</v>
      </c>
      <c r="N442" s="745"/>
      <c r="O442" s="623"/>
      <c r="P442" s="668" t="s">
        <v>350</v>
      </c>
      <c r="Q442" s="696">
        <v>0.14265265524542201</v>
      </c>
      <c r="R442" s="697">
        <v>0.54746486222914204</v>
      </c>
      <c r="S442" s="698">
        <v>0.48908902691511402</v>
      </c>
      <c r="T442" s="698">
        <v>0.61891655744866803</v>
      </c>
      <c r="U442" s="698">
        <v>0.70751495786736796</v>
      </c>
      <c r="V442" s="698">
        <v>0.66907158700368097</v>
      </c>
      <c r="W442" s="698">
        <v>0.40404730868279698</v>
      </c>
      <c r="X442" s="698">
        <v>0.62682469350585801</v>
      </c>
      <c r="Y442" s="699">
        <v>0.811234052407245</v>
      </c>
      <c r="Z442" s="700">
        <v>0.65534243351376797</v>
      </c>
      <c r="AA442" s="700">
        <v>0.73411967072121898</v>
      </c>
      <c r="AB442" s="700">
        <v>0.76420714102985798</v>
      </c>
    </row>
    <row r="443" spans="1:28" ht="15.75" thickBot="1">
      <c r="A443" s="701"/>
      <c r="B443" s="740"/>
      <c r="C443" s="703">
        <v>0.27858554034827698</v>
      </c>
      <c r="D443" s="703">
        <v>0.23021431856800001</v>
      </c>
      <c r="E443" s="703">
        <v>0.10910156836483501</v>
      </c>
      <c r="F443" s="703">
        <v>7.6077967822425194E-2</v>
      </c>
      <c r="G443" s="703">
        <v>4.8887178301704699E-2</v>
      </c>
      <c r="H443" s="703">
        <v>0.14991575490516201</v>
      </c>
      <c r="I443" s="703">
        <v>8.7669711564813901E-2</v>
      </c>
      <c r="J443" s="704">
        <v>0.164661625465612</v>
      </c>
      <c r="K443" s="705">
        <v>0.101260935775925</v>
      </c>
      <c r="L443" s="705">
        <v>3.8793257532607699E-2</v>
      </c>
      <c r="M443" s="705">
        <v>3.2605354031967897E-2</v>
      </c>
      <c r="N443" s="706"/>
      <c r="O443" s="623"/>
      <c r="P443" s="701"/>
      <c r="Q443" s="702"/>
      <c r="R443" s="703"/>
      <c r="S443" s="703"/>
      <c r="T443" s="703"/>
      <c r="U443" s="703"/>
      <c r="V443" s="703"/>
      <c r="W443" s="703"/>
      <c r="X443" s="703"/>
      <c r="Y443" s="704"/>
      <c r="Z443" s="705"/>
      <c r="AA443" s="705"/>
      <c r="AB443" s="705"/>
    </row>
    <row r="444" spans="1:28">
      <c r="A444" s="627"/>
      <c r="B444" s="627"/>
      <c r="C444" s="627"/>
      <c r="D444" s="627"/>
      <c r="E444" s="627"/>
      <c r="F444" s="627"/>
      <c r="G444" s="627"/>
      <c r="H444" s="965"/>
      <c r="I444" s="965"/>
      <c r="J444" s="965"/>
      <c r="K444" s="965"/>
      <c r="L444" s="965"/>
      <c r="M444" s="965"/>
      <c r="N444" s="627"/>
      <c r="O444" s="627"/>
      <c r="P444" s="627"/>
      <c r="Q444" s="627"/>
      <c r="R444" s="627"/>
      <c r="S444" s="627"/>
      <c r="T444" s="627"/>
      <c r="U444" s="627"/>
      <c r="V444" s="965"/>
      <c r="W444" s="965"/>
      <c r="X444" s="965"/>
      <c r="Y444" s="965"/>
      <c r="Z444" s="965"/>
      <c r="AA444" s="965"/>
      <c r="AB444" s="965"/>
    </row>
    <row r="445" spans="1:28">
      <c r="A445" s="623"/>
      <c r="B445" s="964"/>
      <c r="C445" s="627"/>
      <c r="D445" s="627"/>
      <c r="E445" s="627"/>
      <c r="F445" s="627"/>
      <c r="G445" s="965"/>
      <c r="H445" s="965"/>
      <c r="I445" s="965"/>
      <c r="J445" s="965"/>
      <c r="K445" s="965"/>
      <c r="L445" s="965"/>
      <c r="M445" s="965"/>
      <c r="N445" s="965"/>
      <c r="O445" s="627"/>
      <c r="P445" s="623" t="s">
        <v>355</v>
      </c>
      <c r="Q445" s="623" t="s">
        <v>356</v>
      </c>
      <c r="R445" s="627"/>
      <c r="S445" s="627"/>
      <c r="T445" s="627"/>
      <c r="U445" s="627"/>
      <c r="V445" s="965"/>
      <c r="W445" s="965"/>
      <c r="X445" s="965"/>
      <c r="Y445" s="965"/>
      <c r="Z445" s="965"/>
      <c r="AA445" s="965"/>
      <c r="AB445" s="965"/>
    </row>
    <row r="446" spans="1:28">
      <c r="A446" s="625" t="s">
        <v>324</v>
      </c>
      <c r="B446" s="626"/>
      <c r="C446" s="625">
        <v>2001</v>
      </c>
      <c r="D446" s="623"/>
      <c r="E446" s="623"/>
      <c r="F446" s="623"/>
      <c r="G446" s="623"/>
      <c r="H446" s="623"/>
      <c r="I446" s="623"/>
      <c r="J446" s="623"/>
      <c r="K446" s="623"/>
      <c r="L446" s="623"/>
      <c r="M446" s="623"/>
      <c r="N446" s="623"/>
      <c r="O446" s="623"/>
      <c r="P446" s="625" t="s">
        <v>324</v>
      </c>
      <c r="Q446" s="625"/>
      <c r="R446" s="625">
        <v>2001</v>
      </c>
      <c r="S446" s="623"/>
      <c r="T446" s="623"/>
      <c r="U446" s="623"/>
      <c r="V446" s="627"/>
      <c r="W446" s="627"/>
      <c r="X446" s="627"/>
      <c r="Y446" s="627"/>
      <c r="Z446" s="627"/>
      <c r="AA446" s="627"/>
      <c r="AB446" s="627"/>
    </row>
    <row r="447" spans="1:28" ht="15.75" thickBot="1">
      <c r="A447" s="623"/>
      <c r="B447" s="964"/>
      <c r="C447" s="623"/>
      <c r="D447" s="623"/>
      <c r="E447" s="623"/>
      <c r="F447" s="623"/>
      <c r="G447" s="627"/>
      <c r="H447" s="627"/>
      <c r="I447" s="627"/>
      <c r="J447" s="627"/>
      <c r="K447" s="627"/>
      <c r="L447" s="627"/>
      <c r="M447" s="627"/>
      <c r="N447" s="627"/>
      <c r="O447" s="623"/>
      <c r="P447" s="623"/>
      <c r="Q447" s="623"/>
      <c r="R447" s="623"/>
      <c r="S447" s="623"/>
      <c r="T447" s="623"/>
      <c r="U447" s="623"/>
      <c r="V447" s="627"/>
      <c r="W447" s="627"/>
      <c r="X447" s="627"/>
      <c r="Y447" s="627"/>
      <c r="Z447" s="627"/>
      <c r="AA447" s="627"/>
      <c r="AB447" s="627"/>
    </row>
    <row r="448" spans="1:28">
      <c r="A448" s="629" t="s">
        <v>325</v>
      </c>
      <c r="B448" s="630" t="s">
        <v>326</v>
      </c>
      <c r="C448" s="631"/>
      <c r="D448" s="631"/>
      <c r="E448" s="631" t="s">
        <v>327</v>
      </c>
      <c r="F448" s="631"/>
      <c r="G448" s="631"/>
      <c r="H448" s="631"/>
      <c r="I448" s="631"/>
      <c r="J448" s="631"/>
      <c r="K448" s="629" t="s">
        <v>328</v>
      </c>
      <c r="L448" s="629" t="s">
        <v>329</v>
      </c>
      <c r="M448" s="629" t="s">
        <v>330</v>
      </c>
      <c r="N448" s="741"/>
      <c r="O448" s="623"/>
      <c r="P448" s="629" t="s">
        <v>325</v>
      </c>
      <c r="Q448" s="632" t="s">
        <v>326</v>
      </c>
      <c r="R448" s="631"/>
      <c r="S448" s="631"/>
      <c r="T448" s="631" t="s">
        <v>331</v>
      </c>
      <c r="U448" s="631"/>
      <c r="V448" s="631"/>
      <c r="W448" s="631"/>
      <c r="X448" s="631"/>
      <c r="Y448" s="631"/>
      <c r="Z448" s="629" t="s">
        <v>328</v>
      </c>
      <c r="AA448" s="629" t="s">
        <v>329</v>
      </c>
      <c r="AB448" s="629" t="s">
        <v>330</v>
      </c>
    </row>
    <row r="449" spans="1:28">
      <c r="A449" s="633" t="s">
        <v>332</v>
      </c>
      <c r="B449" s="1063" t="s">
        <v>333</v>
      </c>
      <c r="C449" s="634"/>
      <c r="D449" s="634"/>
      <c r="E449" s="634" t="s">
        <v>334</v>
      </c>
      <c r="F449" s="634"/>
      <c r="G449" s="634"/>
      <c r="H449" s="634"/>
      <c r="I449" s="634"/>
      <c r="J449" s="634"/>
      <c r="K449" s="635" t="s">
        <v>335</v>
      </c>
      <c r="L449" s="635" t="s">
        <v>335</v>
      </c>
      <c r="M449" s="635" t="s">
        <v>335</v>
      </c>
      <c r="N449" s="741"/>
      <c r="O449" s="623"/>
      <c r="P449" s="633" t="s">
        <v>332</v>
      </c>
      <c r="Q449" s="636" t="s">
        <v>333</v>
      </c>
      <c r="R449" s="634"/>
      <c r="S449" s="634"/>
      <c r="T449" s="634" t="s">
        <v>336</v>
      </c>
      <c r="U449" s="634"/>
      <c r="V449" s="634"/>
      <c r="W449" s="634"/>
      <c r="X449" s="634"/>
      <c r="Y449" s="634"/>
      <c r="Z449" s="635" t="s">
        <v>335</v>
      </c>
      <c r="AA449" s="635" t="s">
        <v>335</v>
      </c>
      <c r="AB449" s="635" t="s">
        <v>335</v>
      </c>
    </row>
    <row r="450" spans="1:28">
      <c r="A450" s="633" t="s">
        <v>337</v>
      </c>
      <c r="B450" s="1063" t="s">
        <v>53</v>
      </c>
      <c r="C450" s="637" t="s">
        <v>338</v>
      </c>
      <c r="D450" s="637" t="s">
        <v>339</v>
      </c>
      <c r="E450" s="637"/>
      <c r="F450" s="637"/>
      <c r="G450" s="637"/>
      <c r="H450" s="637"/>
      <c r="I450" s="637"/>
      <c r="J450" s="638" t="s">
        <v>164</v>
      </c>
      <c r="K450" s="633" t="s">
        <v>340</v>
      </c>
      <c r="L450" s="633" t="s">
        <v>341</v>
      </c>
      <c r="M450" s="633" t="s">
        <v>341</v>
      </c>
      <c r="N450" s="742"/>
      <c r="O450" s="623"/>
      <c r="P450" s="633" t="s">
        <v>337</v>
      </c>
      <c r="Q450" s="636" t="s">
        <v>53</v>
      </c>
      <c r="R450" s="637" t="s">
        <v>338</v>
      </c>
      <c r="S450" s="637" t="s">
        <v>339</v>
      </c>
      <c r="T450" s="637"/>
      <c r="U450" s="637"/>
      <c r="V450" s="637"/>
      <c r="W450" s="637"/>
      <c r="X450" s="637"/>
      <c r="Y450" s="638" t="s">
        <v>164</v>
      </c>
      <c r="Z450" s="633" t="s">
        <v>340</v>
      </c>
      <c r="AA450" s="633" t="s">
        <v>341</v>
      </c>
      <c r="AB450" s="633" t="s">
        <v>341</v>
      </c>
    </row>
    <row r="451" spans="1:28">
      <c r="A451" s="639"/>
      <c r="B451" s="1064"/>
      <c r="C451" s="640" t="s">
        <v>342</v>
      </c>
      <c r="D451" s="640" t="s">
        <v>343</v>
      </c>
      <c r="E451" s="640" t="s">
        <v>127</v>
      </c>
      <c r="F451" s="640" t="s">
        <v>56</v>
      </c>
      <c r="G451" s="640" t="s">
        <v>344</v>
      </c>
      <c r="H451" s="640" t="s">
        <v>345</v>
      </c>
      <c r="I451" s="640" t="s">
        <v>122</v>
      </c>
      <c r="J451" s="634" t="s">
        <v>346</v>
      </c>
      <c r="K451" s="641" t="s">
        <v>361</v>
      </c>
      <c r="L451" s="641" t="s">
        <v>362</v>
      </c>
      <c r="M451" s="641" t="s">
        <v>363</v>
      </c>
      <c r="N451" s="741"/>
      <c r="O451" s="623"/>
      <c r="P451" s="639"/>
      <c r="Q451" s="642"/>
      <c r="R451" s="640" t="s">
        <v>342</v>
      </c>
      <c r="S451" s="640" t="s">
        <v>343</v>
      </c>
      <c r="T451" s="640" t="s">
        <v>127</v>
      </c>
      <c r="U451" s="640" t="s">
        <v>56</v>
      </c>
      <c r="V451" s="640" t="s">
        <v>344</v>
      </c>
      <c r="W451" s="640" t="s">
        <v>345</v>
      </c>
      <c r="X451" s="640" t="s">
        <v>122</v>
      </c>
      <c r="Y451" s="634" t="s">
        <v>346</v>
      </c>
      <c r="Z451" s="641" t="s">
        <v>361</v>
      </c>
      <c r="AA451" s="641" t="s">
        <v>362</v>
      </c>
      <c r="AB451" s="641" t="s">
        <v>363</v>
      </c>
    </row>
    <row r="452" spans="1:28">
      <c r="A452" s="643" t="s">
        <v>127</v>
      </c>
      <c r="B452" s="1065">
        <v>120050</v>
      </c>
      <c r="C452" s="644">
        <v>52525</v>
      </c>
      <c r="D452" s="644">
        <v>47801</v>
      </c>
      <c r="E452" s="645" t="s">
        <v>68</v>
      </c>
      <c r="F452" s="644">
        <v>22867</v>
      </c>
      <c r="G452" s="644">
        <v>7946</v>
      </c>
      <c r="H452" s="644">
        <v>45522</v>
      </c>
      <c r="I452" s="644">
        <v>13580</v>
      </c>
      <c r="J452" s="646">
        <v>25324</v>
      </c>
      <c r="K452" s="647">
        <v>21497</v>
      </c>
      <c r="L452" s="647">
        <v>6860</v>
      </c>
      <c r="M452" s="647">
        <v>5470</v>
      </c>
      <c r="N452" s="646"/>
      <c r="O452" s="623"/>
      <c r="P452" s="643" t="s">
        <v>127</v>
      </c>
      <c r="Q452" s="648">
        <v>0.31959557490025398</v>
      </c>
      <c r="R452" s="649">
        <v>0.624750118990957</v>
      </c>
      <c r="S452" s="649">
        <v>0.599841007510303</v>
      </c>
      <c r="T452" s="645" t="s">
        <v>68</v>
      </c>
      <c r="U452" s="649">
        <v>0.72519351029868395</v>
      </c>
      <c r="V452" s="649">
        <v>0.83954190787817795</v>
      </c>
      <c r="W452" s="649">
        <v>0.60061069373050402</v>
      </c>
      <c r="X452" s="649">
        <v>0.81421207658321104</v>
      </c>
      <c r="Y452" s="650">
        <v>0.83442584109935203</v>
      </c>
      <c r="Z452" s="651">
        <v>0.73368376982834804</v>
      </c>
      <c r="AA452" s="651">
        <v>0.84912536443148701</v>
      </c>
      <c r="AB452" s="651">
        <v>0.88446069469835498</v>
      </c>
    </row>
    <row r="453" spans="1:28">
      <c r="A453" s="652"/>
      <c r="B453" s="1066"/>
      <c r="C453" s="653">
        <v>0.43752603082049102</v>
      </c>
      <c r="D453" s="653">
        <v>0.39817576009995798</v>
      </c>
      <c r="E453" s="653"/>
      <c r="F453" s="653">
        <v>0.19047896709704301</v>
      </c>
      <c r="G453" s="653">
        <v>6.6189087880049999E-2</v>
      </c>
      <c r="H453" s="653">
        <v>0.37919200333194503</v>
      </c>
      <c r="I453" s="653">
        <v>0.11311953352769701</v>
      </c>
      <c r="J453" s="654">
        <v>0.21094543940025001</v>
      </c>
      <c r="K453" s="654">
        <v>0.179067055393586</v>
      </c>
      <c r="L453" s="654">
        <v>5.7142857142857099E-2</v>
      </c>
      <c r="M453" s="654">
        <v>4.5564348188254902E-2</v>
      </c>
      <c r="N453" s="743"/>
      <c r="O453" s="623"/>
      <c r="P453" s="652"/>
      <c r="Q453" s="655"/>
      <c r="R453" s="653"/>
      <c r="S453" s="653"/>
      <c r="T453" s="653"/>
      <c r="U453" s="653"/>
      <c r="V453" s="653"/>
      <c r="W453" s="653"/>
      <c r="X453" s="653"/>
      <c r="Y453" s="656"/>
      <c r="Z453" s="657"/>
      <c r="AA453" s="657"/>
      <c r="AB453" s="657"/>
    </row>
    <row r="454" spans="1:28">
      <c r="A454" s="643" t="s">
        <v>56</v>
      </c>
      <c r="B454" s="1067">
        <v>382815</v>
      </c>
      <c r="C454" s="644">
        <v>63664</v>
      </c>
      <c r="D454" s="644">
        <v>62596</v>
      </c>
      <c r="E454" s="644">
        <v>31501</v>
      </c>
      <c r="F454" s="645" t="s">
        <v>68</v>
      </c>
      <c r="G454" s="644">
        <v>18120</v>
      </c>
      <c r="H454" s="644">
        <v>57992</v>
      </c>
      <c r="I454" s="644">
        <v>22618</v>
      </c>
      <c r="J454" s="646">
        <v>18523</v>
      </c>
      <c r="K454" s="647">
        <v>29941</v>
      </c>
      <c r="L454" s="647">
        <v>11074</v>
      </c>
      <c r="M454" s="647">
        <v>8711</v>
      </c>
      <c r="N454" s="646"/>
      <c r="O454" s="623"/>
      <c r="P454" s="643" t="s">
        <v>56</v>
      </c>
      <c r="Q454" s="651">
        <v>4.8780297594909101E-2</v>
      </c>
      <c r="R454" s="649">
        <v>0.25592171399849201</v>
      </c>
      <c r="S454" s="649">
        <v>0.25015975461690798</v>
      </c>
      <c r="T454" s="649">
        <v>0.38624170661248802</v>
      </c>
      <c r="U454" s="645" t="s">
        <v>68</v>
      </c>
      <c r="V454" s="649">
        <v>0.40546357615894002</v>
      </c>
      <c r="W454" s="649">
        <v>0.25100013795006199</v>
      </c>
      <c r="X454" s="649">
        <v>0.43655495622955198</v>
      </c>
      <c r="Y454" s="650">
        <v>0.452680451330778</v>
      </c>
      <c r="Z454" s="651">
        <v>0.38776259977956701</v>
      </c>
      <c r="AA454" s="651">
        <v>0.52284630666425902</v>
      </c>
      <c r="AB454" s="651">
        <v>0.57444610262885998</v>
      </c>
    </row>
    <row r="455" spans="1:28">
      <c r="A455" s="652"/>
      <c r="B455" s="1066"/>
      <c r="C455" s="653">
        <v>0.16630487311103301</v>
      </c>
      <c r="D455" s="653">
        <v>0.16351501377950201</v>
      </c>
      <c r="E455" s="653">
        <v>8.2287789140968903E-2</v>
      </c>
      <c r="F455" s="653"/>
      <c r="G455" s="653">
        <v>4.7333568433838798E-2</v>
      </c>
      <c r="H455" s="653">
        <v>0.15148831681099201</v>
      </c>
      <c r="I455" s="653">
        <v>5.9083369251466102E-2</v>
      </c>
      <c r="J455" s="654">
        <v>4.8386296252759198E-2</v>
      </c>
      <c r="K455" s="654">
        <v>7.821271371289E-2</v>
      </c>
      <c r="L455" s="654">
        <v>2.8927811083682701E-2</v>
      </c>
      <c r="M455" s="654">
        <v>2.2755116701278701E-2</v>
      </c>
      <c r="N455" s="743"/>
      <c r="O455" s="623"/>
      <c r="P455" s="652"/>
      <c r="Q455" s="655"/>
      <c r="R455" s="653"/>
      <c r="S455" s="653"/>
      <c r="T455" s="653"/>
      <c r="U455" s="653"/>
      <c r="V455" s="653"/>
      <c r="W455" s="653"/>
      <c r="X455" s="653"/>
      <c r="Y455" s="656"/>
      <c r="Z455" s="657"/>
      <c r="AA455" s="657"/>
      <c r="AB455" s="657"/>
    </row>
    <row r="456" spans="1:28">
      <c r="A456" s="643" t="s">
        <v>344</v>
      </c>
      <c r="B456" s="1067">
        <v>73546</v>
      </c>
      <c r="C456" s="644">
        <v>8504</v>
      </c>
      <c r="D456" s="644">
        <v>8216</v>
      </c>
      <c r="E456" s="644">
        <v>2688</v>
      </c>
      <c r="F456" s="644">
        <v>4396</v>
      </c>
      <c r="G456" s="645" t="s">
        <v>68</v>
      </c>
      <c r="H456" s="644">
        <v>7425</v>
      </c>
      <c r="I456" s="644">
        <v>3411</v>
      </c>
      <c r="J456" s="646">
        <v>2179</v>
      </c>
      <c r="K456" s="647">
        <v>2120</v>
      </c>
      <c r="L456" s="647">
        <v>2120</v>
      </c>
      <c r="M456" s="647">
        <v>1491</v>
      </c>
      <c r="N456" s="646"/>
      <c r="O456" s="623"/>
      <c r="P456" s="643" t="s">
        <v>344</v>
      </c>
      <c r="Q456" s="651">
        <v>3.73126910365051E-2</v>
      </c>
      <c r="R456" s="649">
        <v>0.249529633113829</v>
      </c>
      <c r="S456" s="649">
        <v>0.22723953261927901</v>
      </c>
      <c r="T456" s="649">
        <v>0.38690476190476197</v>
      </c>
      <c r="U456" s="649">
        <v>0.28275705186533201</v>
      </c>
      <c r="V456" s="645" t="s">
        <v>68</v>
      </c>
      <c r="W456" s="649">
        <v>0.21898989898989901</v>
      </c>
      <c r="X456" s="649">
        <v>0.36440926414541203</v>
      </c>
      <c r="Y456" s="650">
        <v>0.53143643873336399</v>
      </c>
      <c r="Z456" s="651">
        <v>0.39245283018867899</v>
      </c>
      <c r="AA456" s="651">
        <v>0.39245283018867899</v>
      </c>
      <c r="AB456" s="651">
        <v>0.47551978537894002</v>
      </c>
    </row>
    <row r="457" spans="1:28">
      <c r="A457" s="652"/>
      <c r="B457" s="1066"/>
      <c r="C457" s="653">
        <v>0.11562831425230501</v>
      </c>
      <c r="D457" s="653">
        <v>0.111712397683083</v>
      </c>
      <c r="E457" s="653">
        <v>3.6548554646071797E-2</v>
      </c>
      <c r="F457" s="653">
        <v>5.9772115410763299E-2</v>
      </c>
      <c r="G457" s="653"/>
      <c r="H457" s="653">
        <v>0.10095722405025399</v>
      </c>
      <c r="I457" s="653">
        <v>4.6379136866722903E-2</v>
      </c>
      <c r="J457" s="654">
        <v>2.96277159872733E-2</v>
      </c>
      <c r="K457" s="654">
        <v>2.8825496967884001E-2</v>
      </c>
      <c r="L457" s="654">
        <v>2.8825496967884001E-2</v>
      </c>
      <c r="M457" s="654">
        <v>2.0273026405242998E-2</v>
      </c>
      <c r="N457" s="743"/>
      <c r="O457" s="623"/>
      <c r="P457" s="652"/>
      <c r="Q457" s="655"/>
      <c r="R457" s="653"/>
      <c r="S457" s="653"/>
      <c r="T457" s="653"/>
      <c r="U457" s="653"/>
      <c r="V457" s="659"/>
      <c r="W457" s="653"/>
      <c r="X457" s="653"/>
      <c r="Y457" s="656"/>
      <c r="Z457" s="657"/>
      <c r="AA457" s="657"/>
      <c r="AB457" s="657"/>
    </row>
    <row r="458" spans="1:28">
      <c r="A458" s="643" t="s">
        <v>347</v>
      </c>
      <c r="B458" s="1067">
        <v>174979</v>
      </c>
      <c r="C458" s="644">
        <v>73575</v>
      </c>
      <c r="D458" s="644">
        <v>54794</v>
      </c>
      <c r="E458" s="644">
        <v>50359</v>
      </c>
      <c r="F458" s="644">
        <v>31583</v>
      </c>
      <c r="G458" s="644">
        <v>11029</v>
      </c>
      <c r="H458" s="658" t="s">
        <v>68</v>
      </c>
      <c r="I458" s="644">
        <v>16209</v>
      </c>
      <c r="J458" s="646">
        <v>55313</v>
      </c>
      <c r="K458" s="647">
        <v>28536</v>
      </c>
      <c r="L458" s="647">
        <v>9342</v>
      </c>
      <c r="M458" s="647">
        <v>7417</v>
      </c>
      <c r="N458" s="646"/>
      <c r="O458" s="623"/>
      <c r="P458" s="643" t="s">
        <v>347</v>
      </c>
      <c r="Q458" s="651">
        <v>0.23550328863271899</v>
      </c>
      <c r="R458" s="649">
        <v>0.70562011552837201</v>
      </c>
      <c r="S458" s="649">
        <v>0.70285067708143201</v>
      </c>
      <c r="T458" s="649">
        <v>0.73460553227824199</v>
      </c>
      <c r="U458" s="649">
        <v>0.73286261596428504</v>
      </c>
      <c r="V458" s="649">
        <v>0.83643122676579895</v>
      </c>
      <c r="W458" s="658" t="s">
        <v>68</v>
      </c>
      <c r="X458" s="649">
        <v>0.82466530939601501</v>
      </c>
      <c r="Y458" s="650">
        <v>0.80641078950698797</v>
      </c>
      <c r="Z458" s="651">
        <v>0.77810485001401697</v>
      </c>
      <c r="AA458" s="651">
        <v>0.85848854634981797</v>
      </c>
      <c r="AB458" s="651">
        <v>0.88944317109343396</v>
      </c>
    </row>
    <row r="459" spans="1:28">
      <c r="A459" s="652"/>
      <c r="B459" s="1077"/>
      <c r="C459" s="653">
        <v>0.42047902891204098</v>
      </c>
      <c r="D459" s="653">
        <v>0.31314614896644699</v>
      </c>
      <c r="E459" s="653">
        <v>0.28780025031575202</v>
      </c>
      <c r="F459" s="653">
        <v>0.18049594522771301</v>
      </c>
      <c r="G459" s="653">
        <v>6.3030420793352304E-2</v>
      </c>
      <c r="H459" s="653"/>
      <c r="I459" s="653">
        <v>9.2633973219643506E-2</v>
      </c>
      <c r="J459" s="654">
        <v>0.31611221918058702</v>
      </c>
      <c r="K459" s="654">
        <v>0.163082427034101</v>
      </c>
      <c r="L459" s="654">
        <v>5.3389263854519697E-2</v>
      </c>
      <c r="M459" s="654">
        <v>4.2387943696100702E-2</v>
      </c>
      <c r="N459" s="743"/>
      <c r="O459" s="623"/>
      <c r="P459" s="652"/>
      <c r="Q459" s="661"/>
      <c r="R459" s="653"/>
      <c r="S459" s="653"/>
      <c r="T459" s="653"/>
      <c r="U459" s="653"/>
      <c r="V459" s="653"/>
      <c r="W459" s="738"/>
      <c r="X459" s="653"/>
      <c r="Y459" s="656"/>
      <c r="Z459" s="657"/>
      <c r="AA459" s="657"/>
      <c r="AB459" s="657"/>
    </row>
    <row r="460" spans="1:28">
      <c r="A460" s="643" t="s">
        <v>122</v>
      </c>
      <c r="B460" s="1067">
        <v>29959</v>
      </c>
      <c r="C460" s="644">
        <v>1173</v>
      </c>
      <c r="D460" s="644">
        <v>1057</v>
      </c>
      <c r="E460" s="644">
        <v>480</v>
      </c>
      <c r="F460" s="644">
        <v>308</v>
      </c>
      <c r="G460" s="644">
        <v>120</v>
      </c>
      <c r="H460" s="644">
        <v>934</v>
      </c>
      <c r="I460" s="658" t="s">
        <v>68</v>
      </c>
      <c r="J460" s="646">
        <v>432</v>
      </c>
      <c r="K460" s="647">
        <v>228</v>
      </c>
      <c r="L460" s="647">
        <v>78</v>
      </c>
      <c r="M460" s="647">
        <v>78</v>
      </c>
      <c r="N460" s="646"/>
      <c r="O460" s="623"/>
      <c r="P460" s="643" t="s">
        <v>122</v>
      </c>
      <c r="Q460" s="651">
        <v>3.1665350139094002E-2</v>
      </c>
      <c r="R460" s="649">
        <v>0.48081841432225098</v>
      </c>
      <c r="S460" s="649">
        <v>0.443708609271523</v>
      </c>
      <c r="T460" s="649">
        <v>0.61250000000000004</v>
      </c>
      <c r="U460" s="649">
        <v>0.65259740259740295</v>
      </c>
      <c r="V460" s="649">
        <v>0.74166666666666703</v>
      </c>
      <c r="W460" s="649">
        <v>0.46252676659528902</v>
      </c>
      <c r="X460" s="658" t="s">
        <v>68</v>
      </c>
      <c r="Y460" s="650">
        <v>0.74768518518518501</v>
      </c>
      <c r="Z460" s="651">
        <v>0.73245614035087703</v>
      </c>
      <c r="AA460" s="651">
        <v>0.87179487179487203</v>
      </c>
      <c r="AB460" s="651">
        <v>0.87179487179487203</v>
      </c>
    </row>
    <row r="461" spans="1:28">
      <c r="A461" s="662"/>
      <c r="B461" s="1078"/>
      <c r="C461" s="663">
        <v>3.9153509796722198E-2</v>
      </c>
      <c r="D461" s="664">
        <v>3.5281551453653297E-2</v>
      </c>
      <c r="E461" s="664">
        <v>1.6021896592009099E-2</v>
      </c>
      <c r="F461" s="664">
        <v>1.02807169798725E-2</v>
      </c>
      <c r="G461" s="664">
        <v>4.0054741480022703E-3</v>
      </c>
      <c r="H461" s="664">
        <v>3.1175940451951E-2</v>
      </c>
      <c r="I461" s="664"/>
      <c r="J461" s="665">
        <v>1.44197069328082E-2</v>
      </c>
      <c r="K461" s="666">
        <v>7.6104008812043098E-3</v>
      </c>
      <c r="L461" s="666">
        <v>2.6035581962014802E-3</v>
      </c>
      <c r="M461" s="666">
        <v>2.6035581962014802E-3</v>
      </c>
      <c r="N461" s="743"/>
      <c r="O461" s="623"/>
      <c r="P461" s="662"/>
      <c r="Q461" s="667"/>
      <c r="R461" s="664"/>
      <c r="S461" s="664"/>
      <c r="T461" s="664"/>
      <c r="U461" s="664"/>
      <c r="V461" s="664"/>
      <c r="W461" s="664"/>
      <c r="X461" s="664"/>
      <c r="Y461" s="665"/>
      <c r="Z461" s="666"/>
      <c r="AA461" s="666"/>
      <c r="AB461" s="666"/>
    </row>
    <row r="462" spans="1:28">
      <c r="A462" s="668" t="s">
        <v>348</v>
      </c>
      <c r="B462" s="744">
        <v>781349</v>
      </c>
      <c r="C462" s="670">
        <v>199441</v>
      </c>
      <c r="D462" s="670">
        <v>174464</v>
      </c>
      <c r="E462" s="670">
        <v>85028</v>
      </c>
      <c r="F462" s="670">
        <v>59154</v>
      </c>
      <c r="G462" s="670">
        <v>37215</v>
      </c>
      <c r="H462" s="670">
        <v>111873</v>
      </c>
      <c r="I462" s="670">
        <v>55818</v>
      </c>
      <c r="J462" s="671">
        <v>101771</v>
      </c>
      <c r="K462" s="672">
        <v>82322</v>
      </c>
      <c r="L462" s="672">
        <v>29474</v>
      </c>
      <c r="M462" s="672">
        <v>23167</v>
      </c>
      <c r="N462" s="671"/>
      <c r="O462" s="623"/>
      <c r="P462" s="668" t="s">
        <v>348</v>
      </c>
      <c r="Q462" s="673">
        <v>0.14216173267735199</v>
      </c>
      <c r="R462" s="674">
        <v>0.52000340952963497</v>
      </c>
      <c r="S462" s="674">
        <v>0.48823826118855501</v>
      </c>
      <c r="T462" s="674">
        <v>0.59386319800536302</v>
      </c>
      <c r="U462" s="674">
        <v>0.69603069953004004</v>
      </c>
      <c r="V462" s="674">
        <v>0.62695149805186101</v>
      </c>
      <c r="W462" s="674">
        <v>0.39290087867492601</v>
      </c>
      <c r="X462" s="674">
        <v>0.63673008706868806</v>
      </c>
      <c r="Y462" s="675">
        <v>0.74286388067327602</v>
      </c>
      <c r="Z462" s="673">
        <v>0.61447729646995897</v>
      </c>
      <c r="AA462" s="673">
        <v>0.69671574947411297</v>
      </c>
      <c r="AB462" s="673">
        <v>0.74312599818707603</v>
      </c>
    </row>
    <row r="463" spans="1:28">
      <c r="A463" s="676" t="s">
        <v>349</v>
      </c>
      <c r="B463" s="677"/>
      <c r="C463" s="682">
        <v>0.25525213444952299</v>
      </c>
      <c r="D463" s="682">
        <v>0.223285625245569</v>
      </c>
      <c r="E463" s="682">
        <v>0.108822050069815</v>
      </c>
      <c r="F463" s="682">
        <v>7.5707526342261897E-2</v>
      </c>
      <c r="G463" s="682">
        <v>4.76291644322831E-2</v>
      </c>
      <c r="H463" s="682">
        <v>0.14317929631956999</v>
      </c>
      <c r="I463" s="682">
        <v>7.1437987378239406E-2</v>
      </c>
      <c r="J463" s="683">
        <v>0.13025037467252101</v>
      </c>
      <c r="K463" s="684">
        <v>0.105358808931732</v>
      </c>
      <c r="L463" s="684">
        <v>3.7721939875778897E-2</v>
      </c>
      <c r="M463" s="684">
        <v>2.9650002751651298E-2</v>
      </c>
      <c r="N463" s="706"/>
      <c r="O463" s="623"/>
      <c r="P463" s="676" t="s">
        <v>349</v>
      </c>
      <c r="Q463" s="681"/>
      <c r="R463" s="682"/>
      <c r="S463" s="682"/>
      <c r="T463" s="682"/>
      <c r="U463" s="682"/>
      <c r="V463" s="682"/>
      <c r="W463" s="682"/>
      <c r="X463" s="682"/>
      <c r="Y463" s="683"/>
      <c r="Z463" s="684"/>
      <c r="AA463" s="684"/>
      <c r="AB463" s="684"/>
    </row>
    <row r="464" spans="1:28">
      <c r="A464" s="643" t="s">
        <v>51</v>
      </c>
      <c r="B464" s="1067">
        <v>66078</v>
      </c>
      <c r="C464" s="644">
        <v>10040</v>
      </c>
      <c r="D464" s="644">
        <v>10040</v>
      </c>
      <c r="E464" s="644">
        <v>3938</v>
      </c>
      <c r="F464" s="644">
        <v>2376</v>
      </c>
      <c r="G464" s="644">
        <v>610</v>
      </c>
      <c r="H464" s="644">
        <v>9170</v>
      </c>
      <c r="I464" s="644">
        <v>1312</v>
      </c>
      <c r="J464" s="685" t="s">
        <v>68</v>
      </c>
      <c r="K464" s="686">
        <v>1582</v>
      </c>
      <c r="L464" s="686">
        <v>472</v>
      </c>
      <c r="M464" s="686">
        <v>410</v>
      </c>
      <c r="N464" s="646"/>
      <c r="O464" s="623"/>
      <c r="P464" s="643" t="s">
        <v>51</v>
      </c>
      <c r="Q464" s="651">
        <v>9.6613352327915597E-2</v>
      </c>
      <c r="R464" s="649">
        <v>0.37270916334661403</v>
      </c>
      <c r="S464" s="649">
        <v>0.37270916334661403</v>
      </c>
      <c r="T464" s="649">
        <v>0.70822752666328104</v>
      </c>
      <c r="U464" s="649">
        <v>0.60984848484848497</v>
      </c>
      <c r="V464" s="649">
        <v>0.88852459016393404</v>
      </c>
      <c r="W464" s="649">
        <v>0.36139585605234498</v>
      </c>
      <c r="X464" s="649">
        <v>0.87881097560975596</v>
      </c>
      <c r="Y464" s="658" t="s">
        <v>68</v>
      </c>
      <c r="Z464" s="651">
        <v>0.80278128950695304</v>
      </c>
      <c r="AA464" s="651">
        <v>0.95974576271186396</v>
      </c>
      <c r="AB464" s="651">
        <v>0.965853658536585</v>
      </c>
    </row>
    <row r="465" spans="1:28">
      <c r="A465" s="687"/>
      <c r="B465" s="1064"/>
      <c r="C465" s="688">
        <v>0.151941644722903</v>
      </c>
      <c r="D465" s="688">
        <v>0.151941644722903</v>
      </c>
      <c r="E465" s="688">
        <v>5.9596234752867801E-2</v>
      </c>
      <c r="F465" s="688">
        <v>3.5957504767093397E-2</v>
      </c>
      <c r="G465" s="688">
        <v>9.2315142710130502E-3</v>
      </c>
      <c r="H465" s="688">
        <v>0.13877538666424499</v>
      </c>
      <c r="I465" s="688">
        <v>1.9855322497654301E-2</v>
      </c>
      <c r="J465" s="689"/>
      <c r="K465" s="690">
        <v>2.3941402584823999E-2</v>
      </c>
      <c r="L465" s="690">
        <v>7.1430733375707498E-3</v>
      </c>
      <c r="M465" s="690">
        <v>6.2047882805169596E-3</v>
      </c>
      <c r="N465" s="743"/>
      <c r="O465" s="623"/>
      <c r="P465" s="687"/>
      <c r="Q465" s="642"/>
      <c r="R465" s="688"/>
      <c r="S465" s="688"/>
      <c r="T465" s="688"/>
      <c r="U465" s="688"/>
      <c r="V465" s="688"/>
      <c r="W465" s="688"/>
      <c r="X465" s="688"/>
      <c r="Y465" s="689"/>
      <c r="Z465" s="690"/>
      <c r="AA465" s="690"/>
      <c r="AB465" s="690"/>
    </row>
    <row r="466" spans="1:28">
      <c r="A466" s="668" t="s">
        <v>350</v>
      </c>
      <c r="B466" s="691">
        <v>847427</v>
      </c>
      <c r="C466" s="692">
        <v>209481</v>
      </c>
      <c r="D466" s="693">
        <v>184504</v>
      </c>
      <c r="E466" s="693">
        <v>88966</v>
      </c>
      <c r="F466" s="693">
        <v>61530</v>
      </c>
      <c r="G466" s="693">
        <v>37825</v>
      </c>
      <c r="H466" s="693">
        <v>121043</v>
      </c>
      <c r="I466" s="693">
        <v>57130</v>
      </c>
      <c r="J466" s="694">
        <v>101771</v>
      </c>
      <c r="K466" s="695">
        <v>83904</v>
      </c>
      <c r="L466" s="695">
        <v>29946</v>
      </c>
      <c r="M466" s="695">
        <v>23577</v>
      </c>
      <c r="N466" s="745"/>
      <c r="O466" s="623"/>
      <c r="P466" s="668" t="s">
        <v>350</v>
      </c>
      <c r="Q466" s="696">
        <v>0.13918924772305399</v>
      </c>
      <c r="R466" s="697">
        <v>0.51294389467302504</v>
      </c>
      <c r="S466" s="698">
        <v>0.481951610805186</v>
      </c>
      <c r="T466" s="698">
        <v>0.59892543218757699</v>
      </c>
      <c r="U466" s="698">
        <v>0.69270274662766096</v>
      </c>
      <c r="V466" s="698">
        <v>0.63116986120290797</v>
      </c>
      <c r="W466" s="698">
        <v>0.39051411481870102</v>
      </c>
      <c r="X466" s="698">
        <v>0.64228951514090704</v>
      </c>
      <c r="Y466" s="699">
        <v>0.74286388067327602</v>
      </c>
      <c r="Z466" s="700">
        <v>0.61802774599542298</v>
      </c>
      <c r="AA466" s="700">
        <v>0.70086155079142498</v>
      </c>
      <c r="AB466" s="700">
        <v>0.74699919412987204</v>
      </c>
    </row>
    <row r="467" spans="1:28" ht="15.75" thickBot="1">
      <c r="A467" s="701"/>
      <c r="B467" s="740"/>
      <c r="C467" s="703">
        <v>0.24719651368200399</v>
      </c>
      <c r="D467" s="703">
        <v>0.217722588494348</v>
      </c>
      <c r="E467" s="703">
        <v>0.10498367410998199</v>
      </c>
      <c r="F467" s="703">
        <v>7.2608024053989306E-2</v>
      </c>
      <c r="G467" s="703">
        <v>4.4635113112987901E-2</v>
      </c>
      <c r="H467" s="703">
        <v>0.142835902089502</v>
      </c>
      <c r="I467" s="703">
        <v>6.7415836408327795E-2</v>
      </c>
      <c r="J467" s="704">
        <v>0.12009412020150401</v>
      </c>
      <c r="K467" s="705">
        <v>9.9010298232178107E-2</v>
      </c>
      <c r="L467" s="705">
        <v>3.5337557099313598E-2</v>
      </c>
      <c r="M467" s="705">
        <v>2.7821865482218499E-2</v>
      </c>
      <c r="N467" s="706"/>
      <c r="O467" s="623"/>
      <c r="P467" s="701"/>
      <c r="Q467" s="702"/>
      <c r="R467" s="703"/>
      <c r="S467" s="703"/>
      <c r="T467" s="703"/>
      <c r="U467" s="703"/>
      <c r="V467" s="703"/>
      <c r="W467" s="703"/>
      <c r="X467" s="703"/>
      <c r="Y467" s="704"/>
      <c r="Z467" s="705"/>
      <c r="AA467" s="705"/>
      <c r="AB467" s="705"/>
    </row>
    <row r="468" spans="1:28">
      <c r="A468" s="627"/>
      <c r="B468" s="627"/>
      <c r="C468" s="627"/>
      <c r="D468" s="627"/>
      <c r="E468" s="627"/>
      <c r="F468" s="627"/>
      <c r="G468" s="627"/>
      <c r="H468" s="965"/>
      <c r="I468" s="965"/>
      <c r="J468" s="965"/>
      <c r="K468" s="965"/>
      <c r="L468" s="965"/>
      <c r="M468" s="965"/>
      <c r="N468" s="627"/>
      <c r="O468" s="627"/>
      <c r="P468" s="627"/>
      <c r="Q468" s="627"/>
      <c r="R468" s="627"/>
      <c r="S468" s="627"/>
      <c r="T468" s="627"/>
      <c r="U468" s="627"/>
      <c r="V468" s="965"/>
      <c r="W468" s="965"/>
      <c r="X468" s="965"/>
      <c r="Y468" s="965"/>
      <c r="Z468" s="965"/>
      <c r="AA468" s="965"/>
      <c r="AB468" s="965"/>
    </row>
    <row r="469" spans="1:28">
      <c r="A469" s="623"/>
      <c r="B469" s="627"/>
      <c r="C469" s="627"/>
      <c r="D469" s="627"/>
      <c r="E469" s="627"/>
      <c r="F469" s="627"/>
      <c r="G469" s="965"/>
      <c r="H469" s="965"/>
      <c r="I469" s="965"/>
      <c r="J469" s="965"/>
      <c r="K469" s="965"/>
      <c r="L469" s="965"/>
      <c r="M469" s="965"/>
      <c r="N469" s="965"/>
      <c r="O469" s="627"/>
      <c r="P469" s="623" t="s">
        <v>352</v>
      </c>
      <c r="Q469" s="627"/>
      <c r="R469" s="627"/>
      <c r="S469" s="627"/>
      <c r="T469" s="627"/>
      <c r="U469" s="627"/>
      <c r="V469" s="965"/>
      <c r="W469" s="965"/>
      <c r="X469" s="965"/>
      <c r="Y469" s="965"/>
      <c r="Z469" s="965"/>
      <c r="AA469" s="965"/>
      <c r="AB469" s="965"/>
    </row>
    <row r="470" spans="1:28">
      <c r="A470" s="625" t="s">
        <v>324</v>
      </c>
      <c r="B470" s="625"/>
      <c r="C470" s="625">
        <v>2000</v>
      </c>
      <c r="D470" s="623"/>
      <c r="E470" s="623"/>
      <c r="F470" s="623"/>
      <c r="G470" s="623"/>
      <c r="H470" s="623"/>
      <c r="I470" s="623"/>
      <c r="J470" s="623"/>
      <c r="K470" s="623"/>
      <c r="L470" s="623"/>
      <c r="M470" s="623"/>
      <c r="N470" s="623"/>
      <c r="O470" s="623"/>
      <c r="P470" s="625" t="s">
        <v>324</v>
      </c>
      <c r="Q470" s="625"/>
      <c r="R470" s="625">
        <v>2000</v>
      </c>
      <c r="S470" s="623"/>
      <c r="T470" s="623"/>
      <c r="U470" s="623"/>
      <c r="V470" s="627"/>
      <c r="W470" s="627"/>
      <c r="X470" s="627"/>
      <c r="Y470" s="627"/>
      <c r="Z470" s="627"/>
      <c r="AA470" s="627"/>
      <c r="AB470" s="627"/>
    </row>
    <row r="471" spans="1:28" ht="15.75" thickBot="1">
      <c r="A471" s="623"/>
      <c r="B471" s="623"/>
      <c r="C471" s="623"/>
      <c r="D471" s="623"/>
      <c r="E471" s="623"/>
      <c r="F471" s="623"/>
      <c r="G471" s="627"/>
      <c r="H471" s="627"/>
      <c r="I471" s="627"/>
      <c r="J471" s="627"/>
      <c r="K471" s="627"/>
      <c r="L471" s="627"/>
      <c r="M471" s="627"/>
      <c r="N471" s="627"/>
      <c r="O471" s="623"/>
      <c r="P471" s="623"/>
      <c r="Q471" s="623"/>
      <c r="R471" s="623"/>
      <c r="S471" s="623"/>
      <c r="T471" s="623"/>
      <c r="U471" s="623"/>
      <c r="V471" s="627"/>
      <c r="W471" s="627"/>
      <c r="X471" s="627"/>
      <c r="Y471" s="627"/>
      <c r="Z471" s="627"/>
      <c r="AA471" s="627"/>
      <c r="AB471" s="627"/>
    </row>
    <row r="472" spans="1:28">
      <c r="A472" s="629" t="s">
        <v>325</v>
      </c>
      <c r="B472" s="630" t="s">
        <v>326</v>
      </c>
      <c r="C472" s="631"/>
      <c r="D472" s="631"/>
      <c r="E472" s="631" t="s">
        <v>327</v>
      </c>
      <c r="F472" s="631"/>
      <c r="G472" s="631"/>
      <c r="H472" s="631"/>
      <c r="I472" s="631"/>
      <c r="J472" s="631"/>
      <c r="K472" s="629" t="s">
        <v>328</v>
      </c>
      <c r="L472" s="629" t="s">
        <v>329</v>
      </c>
      <c r="M472" s="629" t="s">
        <v>330</v>
      </c>
      <c r="N472" s="741"/>
      <c r="O472" s="623"/>
      <c r="P472" s="629" t="s">
        <v>325</v>
      </c>
      <c r="Q472" s="632" t="s">
        <v>326</v>
      </c>
      <c r="R472" s="631"/>
      <c r="S472" s="631"/>
      <c r="T472" s="631" t="s">
        <v>331</v>
      </c>
      <c r="U472" s="631"/>
      <c r="V472" s="631"/>
      <c r="W472" s="631"/>
      <c r="X472" s="631"/>
      <c r="Y472" s="631"/>
      <c r="Z472" s="629" t="s">
        <v>328</v>
      </c>
      <c r="AA472" s="629" t="s">
        <v>329</v>
      </c>
      <c r="AB472" s="629" t="s">
        <v>330</v>
      </c>
    </row>
    <row r="473" spans="1:28">
      <c r="A473" s="633" t="s">
        <v>332</v>
      </c>
      <c r="B473" s="1063" t="s">
        <v>333</v>
      </c>
      <c r="C473" s="634"/>
      <c r="D473" s="634"/>
      <c r="E473" s="634" t="s">
        <v>334</v>
      </c>
      <c r="F473" s="634"/>
      <c r="G473" s="634"/>
      <c r="H473" s="634"/>
      <c r="I473" s="634"/>
      <c r="J473" s="634"/>
      <c r="K473" s="635" t="s">
        <v>335</v>
      </c>
      <c r="L473" s="635" t="s">
        <v>335</v>
      </c>
      <c r="M473" s="635" t="s">
        <v>335</v>
      </c>
      <c r="N473" s="741"/>
      <c r="O473" s="623"/>
      <c r="P473" s="633" t="s">
        <v>332</v>
      </c>
      <c r="Q473" s="636" t="s">
        <v>333</v>
      </c>
      <c r="R473" s="634"/>
      <c r="S473" s="634"/>
      <c r="T473" s="634" t="s">
        <v>336</v>
      </c>
      <c r="U473" s="634"/>
      <c r="V473" s="634"/>
      <c r="W473" s="634"/>
      <c r="X473" s="634"/>
      <c r="Y473" s="634"/>
      <c r="Z473" s="635" t="s">
        <v>335</v>
      </c>
      <c r="AA473" s="635" t="s">
        <v>335</v>
      </c>
      <c r="AB473" s="635" t="s">
        <v>335</v>
      </c>
    </row>
    <row r="474" spans="1:28">
      <c r="A474" s="633" t="s">
        <v>337</v>
      </c>
      <c r="B474" s="1063" t="s">
        <v>53</v>
      </c>
      <c r="C474" s="637" t="s">
        <v>338</v>
      </c>
      <c r="D474" s="637" t="s">
        <v>339</v>
      </c>
      <c r="E474" s="637"/>
      <c r="F474" s="637"/>
      <c r="G474" s="637"/>
      <c r="H474" s="637"/>
      <c r="I474" s="637"/>
      <c r="J474" s="638" t="s">
        <v>164</v>
      </c>
      <c r="K474" s="633" t="s">
        <v>340</v>
      </c>
      <c r="L474" s="633" t="s">
        <v>341</v>
      </c>
      <c r="M474" s="633" t="s">
        <v>341</v>
      </c>
      <c r="N474" s="742"/>
      <c r="O474" s="623"/>
      <c r="P474" s="633" t="s">
        <v>337</v>
      </c>
      <c r="Q474" s="636" t="s">
        <v>53</v>
      </c>
      <c r="R474" s="637" t="s">
        <v>338</v>
      </c>
      <c r="S474" s="637" t="s">
        <v>339</v>
      </c>
      <c r="T474" s="637"/>
      <c r="U474" s="637"/>
      <c r="V474" s="637"/>
      <c r="W474" s="637"/>
      <c r="X474" s="637"/>
      <c r="Y474" s="638" t="s">
        <v>164</v>
      </c>
      <c r="Z474" s="633" t="s">
        <v>340</v>
      </c>
      <c r="AA474" s="633" t="s">
        <v>341</v>
      </c>
      <c r="AB474" s="633" t="s">
        <v>341</v>
      </c>
    </row>
    <row r="475" spans="1:28">
      <c r="A475" s="639"/>
      <c r="B475" s="1064"/>
      <c r="C475" s="640" t="s">
        <v>342</v>
      </c>
      <c r="D475" s="640" t="s">
        <v>343</v>
      </c>
      <c r="E475" s="640" t="s">
        <v>127</v>
      </c>
      <c r="F475" s="640" t="s">
        <v>56</v>
      </c>
      <c r="G475" s="640" t="s">
        <v>344</v>
      </c>
      <c r="H475" s="640" t="s">
        <v>345</v>
      </c>
      <c r="I475" s="640" t="s">
        <v>122</v>
      </c>
      <c r="J475" s="634" t="s">
        <v>346</v>
      </c>
      <c r="K475" s="641" t="s">
        <v>361</v>
      </c>
      <c r="L475" s="641" t="s">
        <v>362</v>
      </c>
      <c r="M475" s="641" t="s">
        <v>363</v>
      </c>
      <c r="N475" s="741"/>
      <c r="O475" s="623"/>
      <c r="P475" s="639"/>
      <c r="Q475" s="642"/>
      <c r="R475" s="640" t="s">
        <v>342</v>
      </c>
      <c r="S475" s="640" t="s">
        <v>343</v>
      </c>
      <c r="T475" s="640" t="s">
        <v>127</v>
      </c>
      <c r="U475" s="640" t="s">
        <v>56</v>
      </c>
      <c r="V475" s="640" t="s">
        <v>344</v>
      </c>
      <c r="W475" s="640" t="s">
        <v>345</v>
      </c>
      <c r="X475" s="640" t="s">
        <v>122</v>
      </c>
      <c r="Y475" s="634" t="s">
        <v>346</v>
      </c>
      <c r="Z475" s="641" t="s">
        <v>361</v>
      </c>
      <c r="AA475" s="641" t="s">
        <v>362</v>
      </c>
      <c r="AB475" s="641" t="s">
        <v>363</v>
      </c>
    </row>
    <row r="476" spans="1:28">
      <c r="A476" s="643" t="s">
        <v>127</v>
      </c>
      <c r="B476" s="1065">
        <v>130928</v>
      </c>
      <c r="C476" s="644">
        <v>58399</v>
      </c>
      <c r="D476" s="644">
        <v>47383</v>
      </c>
      <c r="E476" s="645" t="s">
        <v>68</v>
      </c>
      <c r="F476" s="644">
        <v>23917</v>
      </c>
      <c r="G476" s="644">
        <v>5778</v>
      </c>
      <c r="H476" s="644">
        <v>45060</v>
      </c>
      <c r="I476" s="644">
        <v>12138</v>
      </c>
      <c r="J476" s="646">
        <v>37243</v>
      </c>
      <c r="K476" s="647">
        <v>22315</v>
      </c>
      <c r="L476" s="647">
        <v>5102</v>
      </c>
      <c r="M476" s="647">
        <v>3803</v>
      </c>
      <c r="N476" s="646"/>
      <c r="O476" s="623"/>
      <c r="P476" s="643" t="s">
        <v>127</v>
      </c>
      <c r="Q476" s="648">
        <v>0.309334997030901</v>
      </c>
      <c r="R476" s="649">
        <v>0.64942892857754397</v>
      </c>
      <c r="S476" s="649">
        <v>0.58198087921828501</v>
      </c>
      <c r="T476" s="645" t="s">
        <v>68</v>
      </c>
      <c r="U476" s="649">
        <v>0.68909144123426802</v>
      </c>
      <c r="V476" s="649">
        <v>0.77016268605053695</v>
      </c>
      <c r="W476" s="649">
        <v>0.58253439857967204</v>
      </c>
      <c r="X476" s="649">
        <v>0.79279947273026896</v>
      </c>
      <c r="Y476" s="650">
        <v>0.86580028461724301</v>
      </c>
      <c r="Z476" s="651">
        <v>0.69661662558816895</v>
      </c>
      <c r="AA476" s="651">
        <v>0.78185025480203796</v>
      </c>
      <c r="AB476" s="651">
        <v>0.82855640283986298</v>
      </c>
    </row>
    <row r="477" spans="1:28">
      <c r="A477" s="652"/>
      <c r="B477" s="1066"/>
      <c r="C477" s="653">
        <v>0.44603904436025898</v>
      </c>
      <c r="D477" s="653">
        <v>0.36190119760479</v>
      </c>
      <c r="E477" s="653"/>
      <c r="F477" s="653">
        <v>0.182672919467188</v>
      </c>
      <c r="G477" s="653">
        <v>4.4131125504093899E-2</v>
      </c>
      <c r="H477" s="653">
        <v>0.34415862153244497</v>
      </c>
      <c r="I477" s="653">
        <v>9.2707442258340503E-2</v>
      </c>
      <c r="J477" s="654">
        <v>0.28445405108151001</v>
      </c>
      <c r="K477" s="654">
        <v>0.17043718685078799</v>
      </c>
      <c r="L477" s="654">
        <v>3.8967982402541901E-2</v>
      </c>
      <c r="M477" s="654">
        <v>2.9046498839056599E-2</v>
      </c>
      <c r="N477" s="743"/>
      <c r="O477" s="623"/>
      <c r="P477" s="652"/>
      <c r="Q477" s="655"/>
      <c r="R477" s="653"/>
      <c r="S477" s="653"/>
      <c r="T477" s="653"/>
      <c r="U477" s="653"/>
      <c r="V477" s="653"/>
      <c r="W477" s="653"/>
      <c r="X477" s="653"/>
      <c r="Y477" s="656"/>
      <c r="Z477" s="657"/>
      <c r="AA477" s="657"/>
      <c r="AB477" s="657"/>
    </row>
    <row r="478" spans="1:28">
      <c r="A478" s="643" t="s">
        <v>56</v>
      </c>
      <c r="B478" s="1067">
        <v>384201</v>
      </c>
      <c r="C478" s="644">
        <v>65455</v>
      </c>
      <c r="D478" s="644">
        <v>63406</v>
      </c>
      <c r="E478" s="644">
        <v>33466</v>
      </c>
      <c r="F478" s="645" t="s">
        <v>68</v>
      </c>
      <c r="G478" s="644">
        <v>15151</v>
      </c>
      <c r="H478" s="644">
        <v>59105</v>
      </c>
      <c r="I478" s="644">
        <v>17220</v>
      </c>
      <c r="J478" s="646">
        <v>21174</v>
      </c>
      <c r="K478" s="647">
        <v>31451</v>
      </c>
      <c r="L478" s="647">
        <v>9244</v>
      </c>
      <c r="M478" s="647">
        <v>6263</v>
      </c>
      <c r="N478" s="646"/>
      <c r="O478" s="623"/>
      <c r="P478" s="643" t="s">
        <v>56</v>
      </c>
      <c r="Q478" s="651">
        <v>4.3323739009960102E-2</v>
      </c>
      <c r="R478" s="649">
        <v>0.23289282713314499</v>
      </c>
      <c r="S478" s="649">
        <v>0.21666719237927001</v>
      </c>
      <c r="T478" s="649">
        <v>0.33401063766210498</v>
      </c>
      <c r="U478" s="645" t="s">
        <v>68</v>
      </c>
      <c r="V478" s="649">
        <v>0.27536136228631802</v>
      </c>
      <c r="W478" s="649">
        <v>0.21532865239827401</v>
      </c>
      <c r="X478" s="649">
        <v>0.43536585365853703</v>
      </c>
      <c r="Y478" s="650">
        <v>0.47548880702748703</v>
      </c>
      <c r="Z478" s="651">
        <v>0.33286699945947701</v>
      </c>
      <c r="AA478" s="651">
        <v>0.37083513630463</v>
      </c>
      <c r="AB478" s="651">
        <v>0.447229762094843</v>
      </c>
    </row>
    <row r="479" spans="1:28">
      <c r="A479" s="652"/>
      <c r="B479" s="1066"/>
      <c r="C479" s="653">
        <v>0.17036655292412001</v>
      </c>
      <c r="D479" s="653">
        <v>0.165033406992694</v>
      </c>
      <c r="E479" s="653">
        <v>8.71054474090385E-2</v>
      </c>
      <c r="F479" s="653"/>
      <c r="G479" s="653">
        <v>3.9435087363125003E-2</v>
      </c>
      <c r="H479" s="653">
        <v>0.15383874586479501</v>
      </c>
      <c r="I479" s="653">
        <v>4.4820289379777799E-2</v>
      </c>
      <c r="J479" s="654">
        <v>5.5111777429002001E-2</v>
      </c>
      <c r="K479" s="654">
        <v>8.1860796822496598E-2</v>
      </c>
      <c r="L479" s="654">
        <v>2.4060322591560102E-2</v>
      </c>
      <c r="M479" s="654">
        <v>1.6301363088591599E-2</v>
      </c>
      <c r="N479" s="743"/>
      <c r="O479" s="623"/>
      <c r="P479" s="652"/>
      <c r="Q479" s="655"/>
      <c r="R479" s="653"/>
      <c r="S479" s="653"/>
      <c r="T479" s="653"/>
      <c r="U479" s="653"/>
      <c r="V479" s="653"/>
      <c r="W479" s="653"/>
      <c r="X479" s="653"/>
      <c r="Y479" s="656"/>
      <c r="Z479" s="657"/>
      <c r="AA479" s="657"/>
      <c r="AB479" s="657"/>
    </row>
    <row r="480" spans="1:28">
      <c r="A480" s="643" t="s">
        <v>344</v>
      </c>
      <c r="B480" s="1067">
        <v>72753</v>
      </c>
      <c r="C480" s="644">
        <v>7872</v>
      </c>
      <c r="D480" s="644">
        <v>6961</v>
      </c>
      <c r="E480" s="644">
        <v>2328</v>
      </c>
      <c r="F480" s="644">
        <v>3947</v>
      </c>
      <c r="G480" s="645" t="s">
        <v>68</v>
      </c>
      <c r="H480" s="644">
        <v>6079</v>
      </c>
      <c r="I480" s="644">
        <v>2623</v>
      </c>
      <c r="J480" s="646">
        <v>3208</v>
      </c>
      <c r="K480" s="647">
        <v>1751</v>
      </c>
      <c r="L480" s="647">
        <v>1751</v>
      </c>
      <c r="M480" s="647">
        <v>1229</v>
      </c>
      <c r="N480" s="646"/>
      <c r="O480" s="623"/>
      <c r="P480" s="643" t="s">
        <v>344</v>
      </c>
      <c r="Q480" s="651">
        <v>3.64355391510678E-2</v>
      </c>
      <c r="R480" s="649">
        <v>0.32494918699186998</v>
      </c>
      <c r="S480" s="649">
        <v>0.24421778480103401</v>
      </c>
      <c r="T480" s="649">
        <v>0.423969072164948</v>
      </c>
      <c r="U480" s="649">
        <v>0.30478844692171297</v>
      </c>
      <c r="V480" s="645" t="s">
        <v>68</v>
      </c>
      <c r="W480" s="649">
        <v>0.22799802599111699</v>
      </c>
      <c r="X480" s="649">
        <v>0.42851696530689998</v>
      </c>
      <c r="Y480" s="650">
        <v>0.72163341645885304</v>
      </c>
      <c r="Z480" s="651">
        <v>0.43403769274700199</v>
      </c>
      <c r="AA480" s="651">
        <v>0.43403769274700199</v>
      </c>
      <c r="AB480" s="651">
        <v>0.54434499593165198</v>
      </c>
    </row>
    <row r="481" spans="1:28">
      <c r="A481" s="652"/>
      <c r="B481" s="1066"/>
      <c r="C481" s="653">
        <v>0.108201723640262</v>
      </c>
      <c r="D481" s="653">
        <v>9.5679903234230895E-2</v>
      </c>
      <c r="E481" s="653">
        <v>3.1998680466784897E-2</v>
      </c>
      <c r="F481" s="653">
        <v>5.4252058334364202E-2</v>
      </c>
      <c r="G481" s="653"/>
      <c r="H481" s="653">
        <v>8.3556691820268605E-2</v>
      </c>
      <c r="I481" s="653">
        <v>3.6053496075763199E-2</v>
      </c>
      <c r="J481" s="654">
        <v>4.4094401605432099E-2</v>
      </c>
      <c r="K481" s="654">
        <v>2.4067736038376399E-2</v>
      </c>
      <c r="L481" s="654">
        <v>2.4067736038376399E-2</v>
      </c>
      <c r="M481" s="654">
        <v>1.6892774181133399E-2</v>
      </c>
      <c r="N481" s="743"/>
      <c r="O481" s="623"/>
      <c r="P481" s="652"/>
      <c r="Q481" s="655"/>
      <c r="R481" s="653"/>
      <c r="S481" s="653"/>
      <c r="T481" s="653"/>
      <c r="U481" s="653"/>
      <c r="V481" s="659"/>
      <c r="W481" s="653"/>
      <c r="X481" s="653"/>
      <c r="Y481" s="656"/>
      <c r="Z481" s="657"/>
      <c r="AA481" s="657"/>
      <c r="AB481" s="657"/>
    </row>
    <row r="482" spans="1:28">
      <c r="A482" s="643" t="s">
        <v>347</v>
      </c>
      <c r="B482" s="1067">
        <v>161786</v>
      </c>
      <c r="C482" s="644">
        <v>79190</v>
      </c>
      <c r="D482" s="644">
        <v>53823</v>
      </c>
      <c r="E482" s="644">
        <v>49639</v>
      </c>
      <c r="F482" s="644">
        <v>31667</v>
      </c>
      <c r="G482" s="644">
        <v>8631</v>
      </c>
      <c r="H482" s="658" t="s">
        <v>68</v>
      </c>
      <c r="I482" s="644">
        <v>13726</v>
      </c>
      <c r="J482" s="646">
        <v>65209</v>
      </c>
      <c r="K482" s="647">
        <v>28453</v>
      </c>
      <c r="L482" s="647">
        <v>7108</v>
      </c>
      <c r="M482" s="647">
        <v>4971</v>
      </c>
      <c r="N482" s="646"/>
      <c r="O482" s="623"/>
      <c r="P482" s="643" t="s">
        <v>347</v>
      </c>
      <c r="Q482" s="651">
        <v>0.27094741006482698</v>
      </c>
      <c r="R482" s="649">
        <v>0.727225659805531</v>
      </c>
      <c r="S482" s="649">
        <v>0.68504171079278398</v>
      </c>
      <c r="T482" s="649">
        <v>0.71607002558472199</v>
      </c>
      <c r="U482" s="649">
        <v>0.702592604288376</v>
      </c>
      <c r="V482" s="649">
        <v>0.75506893755068905</v>
      </c>
      <c r="W482" s="658" t="s">
        <v>68</v>
      </c>
      <c r="X482" s="649">
        <v>0.795060469182573</v>
      </c>
      <c r="Y482" s="650">
        <v>0.83707770399791404</v>
      </c>
      <c r="Z482" s="651">
        <v>0.74726742347028396</v>
      </c>
      <c r="AA482" s="651">
        <v>0.79459763646595405</v>
      </c>
      <c r="AB482" s="651">
        <v>0.86159726413196502</v>
      </c>
    </row>
    <row r="483" spans="1:28">
      <c r="A483" s="652"/>
      <c r="B483" s="1077"/>
      <c r="C483" s="653">
        <v>0.489473749273732</v>
      </c>
      <c r="D483" s="653">
        <v>0.33268020718727198</v>
      </c>
      <c r="E483" s="653">
        <v>0.30681888420506098</v>
      </c>
      <c r="F483" s="653">
        <v>0.19573387066866099</v>
      </c>
      <c r="G483" s="653">
        <v>5.3348250157615601E-2</v>
      </c>
      <c r="H483" s="653"/>
      <c r="I483" s="653">
        <v>8.4840468272903702E-2</v>
      </c>
      <c r="J483" s="654">
        <v>0.40305712484393003</v>
      </c>
      <c r="K483" s="654">
        <v>0.17586812208720201</v>
      </c>
      <c r="L483" s="654">
        <v>4.39345802479819E-2</v>
      </c>
      <c r="M483" s="654">
        <v>3.07257735527178E-2</v>
      </c>
      <c r="N483" s="743"/>
      <c r="O483" s="623"/>
      <c r="P483" s="652"/>
      <c r="Q483" s="661"/>
      <c r="R483" s="653"/>
      <c r="S483" s="653"/>
      <c r="T483" s="653"/>
      <c r="U483" s="653"/>
      <c r="V483" s="653"/>
      <c r="W483" s="738"/>
      <c r="X483" s="653"/>
      <c r="Y483" s="656"/>
      <c r="Z483" s="657"/>
      <c r="AA483" s="657"/>
      <c r="AB483" s="657"/>
    </row>
    <row r="484" spans="1:28">
      <c r="A484" s="643" t="s">
        <v>122</v>
      </c>
      <c r="B484" s="1067">
        <v>25261</v>
      </c>
      <c r="C484" s="644">
        <v>2093</v>
      </c>
      <c r="D484" s="644">
        <v>852</v>
      </c>
      <c r="E484" s="644">
        <v>378</v>
      </c>
      <c r="F484" s="644">
        <v>246</v>
      </c>
      <c r="G484" s="644">
        <v>84</v>
      </c>
      <c r="H484" s="644">
        <v>708</v>
      </c>
      <c r="I484" s="658" t="s">
        <v>68</v>
      </c>
      <c r="J484" s="646">
        <v>1633</v>
      </c>
      <c r="K484" s="647">
        <v>143</v>
      </c>
      <c r="L484" s="647">
        <v>36</v>
      </c>
      <c r="M484" s="647">
        <v>36</v>
      </c>
      <c r="N484" s="646"/>
      <c r="O484" s="623"/>
      <c r="P484" s="643" t="s">
        <v>122</v>
      </c>
      <c r="Q484" s="651">
        <v>6.4998773608045096E-2</v>
      </c>
      <c r="R484" s="649">
        <v>0.72575250836120397</v>
      </c>
      <c r="S484" s="649">
        <v>0.38262910798122102</v>
      </c>
      <c r="T484" s="649">
        <v>0.53439153439153397</v>
      </c>
      <c r="U484" s="649">
        <v>0.54065040650406504</v>
      </c>
      <c r="V484" s="649">
        <v>0.58333333333333304</v>
      </c>
      <c r="W484" s="649">
        <v>0.39971751412429402</v>
      </c>
      <c r="X484" s="658" t="s">
        <v>68</v>
      </c>
      <c r="Y484" s="650">
        <v>0.90447030006123696</v>
      </c>
      <c r="Z484" s="651">
        <v>0.678321678321678</v>
      </c>
      <c r="AA484" s="651">
        <v>0.88888888888888895</v>
      </c>
      <c r="AB484" s="651">
        <v>0.88888888888888895</v>
      </c>
    </row>
    <row r="485" spans="1:28">
      <c r="A485" s="662"/>
      <c r="B485" s="1078"/>
      <c r="C485" s="663">
        <v>8.2854993864059201E-2</v>
      </c>
      <c r="D485" s="664">
        <v>3.3727880923162201E-2</v>
      </c>
      <c r="E485" s="664">
        <v>1.49637781560508E-2</v>
      </c>
      <c r="F485" s="664">
        <v>9.7383318158425995E-3</v>
      </c>
      <c r="G485" s="664">
        <v>3.3252840346779601E-3</v>
      </c>
      <c r="H485" s="664">
        <v>2.80273940065714E-2</v>
      </c>
      <c r="I485" s="664"/>
      <c r="J485" s="665">
        <v>6.4645105102727501E-2</v>
      </c>
      <c r="K485" s="666">
        <v>5.6609002018922503E-3</v>
      </c>
      <c r="L485" s="666">
        <v>1.4251217291477E-3</v>
      </c>
      <c r="M485" s="666">
        <v>1.4251217291477E-3</v>
      </c>
      <c r="N485" s="743"/>
      <c r="O485" s="623"/>
      <c r="P485" s="662"/>
      <c r="Q485" s="667"/>
      <c r="R485" s="664"/>
      <c r="S485" s="664"/>
      <c r="T485" s="664"/>
      <c r="U485" s="664"/>
      <c r="V485" s="664"/>
      <c r="W485" s="664"/>
      <c r="X485" s="664"/>
      <c r="Y485" s="665"/>
      <c r="Z485" s="666"/>
      <c r="AA485" s="666"/>
      <c r="AB485" s="666"/>
    </row>
    <row r="486" spans="1:28">
      <c r="A486" s="668" t="s">
        <v>348</v>
      </c>
      <c r="B486" s="744">
        <v>774929</v>
      </c>
      <c r="C486" s="670">
        <v>213009</v>
      </c>
      <c r="D486" s="670">
        <v>172425</v>
      </c>
      <c r="E486" s="670">
        <v>85811</v>
      </c>
      <c r="F486" s="670">
        <v>59777</v>
      </c>
      <c r="G486" s="670">
        <v>29644</v>
      </c>
      <c r="H486" s="670">
        <v>110952</v>
      </c>
      <c r="I486" s="670">
        <v>45707</v>
      </c>
      <c r="J486" s="671">
        <v>128467</v>
      </c>
      <c r="K486" s="672">
        <v>84113</v>
      </c>
      <c r="L486" s="672">
        <v>23241</v>
      </c>
      <c r="M486" s="672">
        <v>16302</v>
      </c>
      <c r="N486" s="671"/>
      <c r="O486" s="623"/>
      <c r="P486" s="668" t="s">
        <v>348</v>
      </c>
      <c r="Q486" s="673">
        <v>0.14603041952197901</v>
      </c>
      <c r="R486" s="674">
        <v>0.53911337079653898</v>
      </c>
      <c r="S486" s="674">
        <v>0.46519356241844301</v>
      </c>
      <c r="T486" s="674">
        <v>0.55834333593595198</v>
      </c>
      <c r="U486" s="674">
        <v>0.67025779145825304</v>
      </c>
      <c r="V486" s="674">
        <v>0.51234651194170799</v>
      </c>
      <c r="W486" s="674">
        <v>0.36632958396423698</v>
      </c>
      <c r="X486" s="674">
        <v>0.63791104207232996</v>
      </c>
      <c r="Y486" s="675">
        <v>0.78378104882966004</v>
      </c>
      <c r="Z486" s="673">
        <v>0.572242102885404</v>
      </c>
      <c r="AA486" s="673">
        <v>0.59623079901897502</v>
      </c>
      <c r="AB486" s="673">
        <v>0.67083793399582903</v>
      </c>
    </row>
    <row r="487" spans="1:28">
      <c r="A487" s="676" t="s">
        <v>349</v>
      </c>
      <c r="B487" s="677"/>
      <c r="C487" s="682">
        <v>0.27487550472365901</v>
      </c>
      <c r="D487" s="682">
        <v>0.222504255228544</v>
      </c>
      <c r="E487" s="682">
        <v>0.1107340156324</v>
      </c>
      <c r="F487" s="682">
        <v>7.71386798016334E-2</v>
      </c>
      <c r="G487" s="682">
        <v>3.8253827124807599E-2</v>
      </c>
      <c r="H487" s="682">
        <v>0.14317698782727201</v>
      </c>
      <c r="I487" s="682">
        <v>5.8982177722088101E-2</v>
      </c>
      <c r="J487" s="683">
        <v>0.16577905846858201</v>
      </c>
      <c r="K487" s="684">
        <v>0.108542847151158</v>
      </c>
      <c r="L487" s="684">
        <v>2.9991134671692499E-2</v>
      </c>
      <c r="M487" s="684">
        <v>2.1036765948880501E-2</v>
      </c>
      <c r="N487" s="706"/>
      <c r="O487" s="623"/>
      <c r="P487" s="676" t="s">
        <v>349</v>
      </c>
      <c r="Q487" s="681"/>
      <c r="R487" s="682"/>
      <c r="S487" s="682"/>
      <c r="T487" s="682"/>
      <c r="U487" s="682"/>
      <c r="V487" s="682"/>
      <c r="W487" s="682"/>
      <c r="X487" s="682"/>
      <c r="Y487" s="683"/>
      <c r="Z487" s="684"/>
      <c r="AA487" s="684"/>
      <c r="AB487" s="684"/>
    </row>
    <row r="488" spans="1:28">
      <c r="A488" s="643" t="s">
        <v>51</v>
      </c>
      <c r="B488" s="1067">
        <v>53930</v>
      </c>
      <c r="C488" s="644">
        <v>9034</v>
      </c>
      <c r="D488" s="644">
        <v>9034</v>
      </c>
      <c r="E488" s="644">
        <v>4013</v>
      </c>
      <c r="F488" s="644">
        <v>2348</v>
      </c>
      <c r="G488" s="644">
        <v>468</v>
      </c>
      <c r="H488" s="644">
        <v>8012</v>
      </c>
      <c r="I488" s="644">
        <v>1295</v>
      </c>
      <c r="J488" s="685" t="s">
        <v>68</v>
      </c>
      <c r="K488" s="686">
        <v>1560</v>
      </c>
      <c r="L488" s="686">
        <v>336</v>
      </c>
      <c r="M488" s="686">
        <v>282</v>
      </c>
      <c r="N488" s="646"/>
      <c r="O488" s="623"/>
      <c r="P488" s="643" t="s">
        <v>51</v>
      </c>
      <c r="Q488" s="651">
        <v>0.10484679266895799</v>
      </c>
      <c r="R488" s="649">
        <v>0.40491476643790097</v>
      </c>
      <c r="S488" s="649">
        <v>0.40491476643790097</v>
      </c>
      <c r="T488" s="649">
        <v>0.69598803887366101</v>
      </c>
      <c r="U488" s="649">
        <v>0.60945485519591103</v>
      </c>
      <c r="V488" s="649">
        <v>0.81410256410256399</v>
      </c>
      <c r="W488" s="649">
        <v>0.39802795806290597</v>
      </c>
      <c r="X488" s="649">
        <v>0.83938223938223899</v>
      </c>
      <c r="Y488" s="658" t="s">
        <v>68</v>
      </c>
      <c r="Z488" s="651">
        <v>0.77884615384615397</v>
      </c>
      <c r="AA488" s="651">
        <v>0.91964285714285698</v>
      </c>
      <c r="AB488" s="651">
        <v>0.91843971631205701</v>
      </c>
    </row>
    <row r="489" spans="1:28">
      <c r="A489" s="687"/>
      <c r="B489" s="1064"/>
      <c r="C489" s="688">
        <v>0.16751344335249399</v>
      </c>
      <c r="D489" s="688">
        <v>0.16751344335249399</v>
      </c>
      <c r="E489" s="688">
        <v>7.4411273873539796E-2</v>
      </c>
      <c r="F489" s="688">
        <v>4.3537919525310602E-2</v>
      </c>
      <c r="G489" s="688">
        <v>8.6779158167995495E-3</v>
      </c>
      <c r="H489" s="688">
        <v>0.148562951974782</v>
      </c>
      <c r="I489" s="688">
        <v>2.4012608937511601E-2</v>
      </c>
      <c r="J489" s="689"/>
      <c r="K489" s="690">
        <v>2.8926386055998499E-2</v>
      </c>
      <c r="L489" s="690">
        <v>6.23029853513814E-3</v>
      </c>
      <c r="M489" s="690">
        <v>5.2290005562766603E-3</v>
      </c>
      <c r="N489" s="743"/>
      <c r="O489" s="623"/>
      <c r="P489" s="687"/>
      <c r="Q489" s="642"/>
      <c r="R489" s="688"/>
      <c r="S489" s="688"/>
      <c r="T489" s="688"/>
      <c r="U489" s="688"/>
      <c r="V489" s="688"/>
      <c r="W489" s="688"/>
      <c r="X489" s="688"/>
      <c r="Y489" s="689"/>
      <c r="Z489" s="690"/>
      <c r="AA489" s="690"/>
      <c r="AB489" s="690"/>
    </row>
    <row r="490" spans="1:28">
      <c r="A490" s="668" t="s">
        <v>350</v>
      </c>
      <c r="B490" s="691">
        <v>828859</v>
      </c>
      <c r="C490" s="692">
        <v>222043</v>
      </c>
      <c r="D490" s="693">
        <v>181459</v>
      </c>
      <c r="E490" s="693">
        <v>89824</v>
      </c>
      <c r="F490" s="693">
        <v>62125</v>
      </c>
      <c r="G490" s="693">
        <v>30112</v>
      </c>
      <c r="H490" s="693">
        <v>118964</v>
      </c>
      <c r="I490" s="693">
        <v>47002</v>
      </c>
      <c r="J490" s="694">
        <v>128467</v>
      </c>
      <c r="K490" s="695">
        <v>85673</v>
      </c>
      <c r="L490" s="695">
        <v>23577</v>
      </c>
      <c r="M490" s="695">
        <v>16584</v>
      </c>
      <c r="N490" s="745"/>
      <c r="O490" s="623"/>
      <c r="P490" s="668" t="s">
        <v>350</v>
      </c>
      <c r="Q490" s="696">
        <v>0.14345511767312999</v>
      </c>
      <c r="R490" s="697">
        <v>0.53365339146021296</v>
      </c>
      <c r="S490" s="698">
        <v>0.46219256140505599</v>
      </c>
      <c r="T490" s="698">
        <v>0.56449278589241203</v>
      </c>
      <c r="U490" s="698">
        <v>0.66795975855130796</v>
      </c>
      <c r="V490" s="698">
        <v>0.51703639744952201</v>
      </c>
      <c r="W490" s="698">
        <v>0.36846440940116298</v>
      </c>
      <c r="X490" s="698">
        <v>0.64346198034126201</v>
      </c>
      <c r="Y490" s="699">
        <v>0.78378104882966004</v>
      </c>
      <c r="Z490" s="700">
        <v>0.57600410864566398</v>
      </c>
      <c r="AA490" s="700">
        <v>0.60083980150146299</v>
      </c>
      <c r="AB490" s="700">
        <v>0.67504823926676305</v>
      </c>
    </row>
    <row r="491" spans="1:28" ht="15.75" thickBot="1">
      <c r="A491" s="701"/>
      <c r="B491" s="740"/>
      <c r="C491" s="703">
        <v>0.26788995474501698</v>
      </c>
      <c r="D491" s="703">
        <v>0.21892625886912001</v>
      </c>
      <c r="E491" s="703">
        <v>0.108370663767903</v>
      </c>
      <c r="F491" s="703">
        <v>7.4952434611918306E-2</v>
      </c>
      <c r="G491" s="703">
        <v>3.6329460137369603E-2</v>
      </c>
      <c r="H491" s="703">
        <v>0.143527427463537</v>
      </c>
      <c r="I491" s="703">
        <v>5.6706870529245598E-2</v>
      </c>
      <c r="J491" s="704">
        <v>0.154992586193792</v>
      </c>
      <c r="K491" s="705">
        <v>0.103362574334115</v>
      </c>
      <c r="L491" s="705">
        <v>2.8445127578997201E-2</v>
      </c>
      <c r="M491" s="705">
        <v>2.0008228178737299E-2</v>
      </c>
      <c r="N491" s="706"/>
      <c r="O491" s="623"/>
      <c r="P491" s="701"/>
      <c r="Q491" s="702"/>
      <c r="R491" s="703"/>
      <c r="S491" s="703"/>
      <c r="T491" s="703"/>
      <c r="U491" s="703"/>
      <c r="V491" s="703"/>
      <c r="W491" s="703"/>
      <c r="X491" s="703"/>
      <c r="Y491" s="704"/>
      <c r="Z491" s="705"/>
      <c r="AA491" s="705"/>
      <c r="AB491" s="705"/>
    </row>
    <row r="492" spans="1:28">
      <c r="A492" s="623"/>
      <c r="B492" s="964"/>
      <c r="C492" s="623"/>
      <c r="D492" s="623"/>
      <c r="E492" s="623"/>
      <c r="F492" s="623"/>
      <c r="G492" s="623"/>
      <c r="H492" s="623"/>
      <c r="I492" s="623"/>
      <c r="J492" s="623"/>
      <c r="K492" s="623"/>
      <c r="L492" s="623"/>
      <c r="M492" s="623"/>
      <c r="N492" s="623"/>
      <c r="O492" s="623"/>
      <c r="P492" s="623"/>
      <c r="Q492" s="623"/>
      <c r="R492" s="623"/>
      <c r="S492" s="623"/>
      <c r="T492" s="623"/>
      <c r="U492" s="623"/>
      <c r="V492" s="965"/>
      <c r="W492" s="965"/>
      <c r="X492" s="965"/>
      <c r="Y492" s="965"/>
      <c r="Z492" s="965"/>
      <c r="AA492" s="965"/>
      <c r="AB492" s="965"/>
    </row>
    <row r="493" spans="1:28">
      <c r="A493" s="965"/>
      <c r="B493" s="965"/>
      <c r="C493" s="623"/>
      <c r="D493" s="623"/>
      <c r="E493" s="623"/>
      <c r="F493" s="623"/>
      <c r="G493" s="623"/>
      <c r="H493" s="623"/>
      <c r="I493" s="623"/>
      <c r="J493" s="623"/>
      <c r="K493" s="623"/>
      <c r="L493" s="623"/>
      <c r="M493" s="623"/>
      <c r="N493" s="623"/>
      <c r="O493" s="623"/>
      <c r="P493" s="623" t="s">
        <v>355</v>
      </c>
      <c r="Q493" s="623" t="s">
        <v>356</v>
      </c>
      <c r="R493" s="623"/>
      <c r="S493" s="623"/>
      <c r="T493" s="623"/>
      <c r="U493" s="623"/>
      <c r="V493" s="965"/>
      <c r="W493" s="965"/>
      <c r="X493" s="965"/>
      <c r="Y493" s="965"/>
      <c r="Z493" s="965"/>
      <c r="AA493" s="965"/>
      <c r="AB493" s="965"/>
    </row>
  </sheetData>
  <mergeCells count="64">
    <mergeCell ref="R12:Y12"/>
    <mergeCell ref="AB12:AB15"/>
    <mergeCell ref="AN12:AN15"/>
    <mergeCell ref="C13:J13"/>
    <mergeCell ref="R13:Y13"/>
    <mergeCell ref="C14:C15"/>
    <mergeCell ref="D14:D15"/>
    <mergeCell ref="E14:E15"/>
    <mergeCell ref="F14:F15"/>
    <mergeCell ref="G14:G15"/>
    <mergeCell ref="C12:J12"/>
    <mergeCell ref="M12:M15"/>
    <mergeCell ref="P12:P15"/>
    <mergeCell ref="Q12:Q15"/>
    <mergeCell ref="H14:H15"/>
    <mergeCell ref="I14:I15"/>
    <mergeCell ref="X14:X15"/>
    <mergeCell ref="Y14:Y15"/>
    <mergeCell ref="Z14:Z15"/>
    <mergeCell ref="AM14:AM15"/>
    <mergeCell ref="A26:A27"/>
    <mergeCell ref="P26:P27"/>
    <mergeCell ref="R14:R15"/>
    <mergeCell ref="S14:S15"/>
    <mergeCell ref="T14:T15"/>
    <mergeCell ref="U14:U15"/>
    <mergeCell ref="V14:V15"/>
    <mergeCell ref="W14:W15"/>
    <mergeCell ref="A12:A15"/>
    <mergeCell ref="B12:B15"/>
    <mergeCell ref="J14:J15"/>
    <mergeCell ref="K14:K15"/>
    <mergeCell ref="R38:Y38"/>
    <mergeCell ref="AB38:AB41"/>
    <mergeCell ref="AN38:AN41"/>
    <mergeCell ref="C39:J39"/>
    <mergeCell ref="R39:Y39"/>
    <mergeCell ref="C40:C41"/>
    <mergeCell ref="D40:D41"/>
    <mergeCell ref="E40:E41"/>
    <mergeCell ref="F40:F41"/>
    <mergeCell ref="G40:G41"/>
    <mergeCell ref="C38:J38"/>
    <mergeCell ref="M38:M41"/>
    <mergeCell ref="P38:P41"/>
    <mergeCell ref="Q38:Q41"/>
    <mergeCell ref="H40:H41"/>
    <mergeCell ref="I40:I41"/>
    <mergeCell ref="X40:X41"/>
    <mergeCell ref="Y40:Y41"/>
    <mergeCell ref="Z40:Z41"/>
    <mergeCell ref="AM40:AM41"/>
    <mergeCell ref="A52:A53"/>
    <mergeCell ref="P52:P53"/>
    <mergeCell ref="R40:R41"/>
    <mergeCell ref="S40:S41"/>
    <mergeCell ref="T40:T41"/>
    <mergeCell ref="U40:U41"/>
    <mergeCell ref="V40:V41"/>
    <mergeCell ref="W40:W41"/>
    <mergeCell ref="A38:A41"/>
    <mergeCell ref="B38:B41"/>
    <mergeCell ref="J40:J41"/>
    <mergeCell ref="K40:K41"/>
  </mergeCells>
  <hyperlinks>
    <hyperlink ref="N1" location="Content!A1" display="ToC" xr:uid="{0E68B50D-DB6E-42D1-9FA3-51CAEEC7E475}"/>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E05D-210F-424C-ADB0-AF090CCACE8D}">
  <dimension ref="A1:T13"/>
  <sheetViews>
    <sheetView zoomScale="115" zoomScaleNormal="115" workbookViewId="0">
      <selection activeCell="T7" sqref="T7:T12"/>
    </sheetView>
  </sheetViews>
  <sheetFormatPr defaultRowHeight="15"/>
  <cols>
    <col min="1" max="1" width="11.28515625" customWidth="1"/>
  </cols>
  <sheetData>
    <row r="1" spans="1:20" ht="21">
      <c r="A1" s="496" t="s">
        <v>32</v>
      </c>
      <c r="T1" s="888" t="s">
        <v>458</v>
      </c>
    </row>
    <row r="2" spans="1:20" ht="18.75">
      <c r="A2" s="495" t="s">
        <v>294</v>
      </c>
    </row>
    <row r="3" spans="1:20" ht="18.75">
      <c r="A3" s="495" t="s">
        <v>364</v>
      </c>
    </row>
    <row r="5" spans="1:20">
      <c r="T5" s="1086"/>
    </row>
    <row r="6" spans="1:20">
      <c r="A6" s="534" t="s">
        <v>53</v>
      </c>
      <c r="B6" s="534">
        <v>2000</v>
      </c>
      <c r="C6" s="534">
        <f>B6+1</f>
        <v>2001</v>
      </c>
      <c r="D6" s="534">
        <f t="shared" ref="D6:T6" si="0">C6+1</f>
        <v>2002</v>
      </c>
      <c r="E6" s="534">
        <f t="shared" si="0"/>
        <v>2003</v>
      </c>
      <c r="F6" s="534">
        <f t="shared" si="0"/>
        <v>2004</v>
      </c>
      <c r="G6" s="534">
        <f t="shared" si="0"/>
        <v>2005</v>
      </c>
      <c r="H6" s="534">
        <f t="shared" si="0"/>
        <v>2006</v>
      </c>
      <c r="I6" s="534">
        <f t="shared" si="0"/>
        <v>2007</v>
      </c>
      <c r="J6" s="534">
        <f t="shared" si="0"/>
        <v>2008</v>
      </c>
      <c r="K6" s="534">
        <f t="shared" si="0"/>
        <v>2009</v>
      </c>
      <c r="L6" s="534">
        <f t="shared" si="0"/>
        <v>2010</v>
      </c>
      <c r="M6" s="534">
        <f t="shared" si="0"/>
        <v>2011</v>
      </c>
      <c r="N6" s="534">
        <f t="shared" si="0"/>
        <v>2012</v>
      </c>
      <c r="O6" s="534">
        <f t="shared" si="0"/>
        <v>2013</v>
      </c>
      <c r="P6" s="534">
        <f t="shared" si="0"/>
        <v>2014</v>
      </c>
      <c r="Q6" s="534">
        <f t="shared" si="0"/>
        <v>2015</v>
      </c>
      <c r="R6" s="534">
        <f t="shared" si="0"/>
        <v>2016</v>
      </c>
      <c r="S6" s="534">
        <f t="shared" si="0"/>
        <v>2017</v>
      </c>
      <c r="T6" s="1187">
        <f t="shared" si="0"/>
        <v>2018</v>
      </c>
    </row>
    <row r="7" spans="1:20">
      <c r="A7" s="544" t="s">
        <v>55</v>
      </c>
      <c r="B7" s="547">
        <v>3803</v>
      </c>
      <c r="C7" s="547">
        <v>5470</v>
      </c>
      <c r="D7" s="547">
        <v>6392</v>
      </c>
      <c r="E7" s="547">
        <v>6928</v>
      </c>
      <c r="F7" s="547">
        <v>6841</v>
      </c>
      <c r="G7" s="547">
        <v>7021</v>
      </c>
      <c r="H7" s="547">
        <v>6438</v>
      </c>
      <c r="I7" s="547">
        <v>6085</v>
      </c>
      <c r="J7" s="547">
        <v>6704</v>
      </c>
      <c r="K7" s="547">
        <v>7113</v>
      </c>
      <c r="L7" s="547">
        <v>6600</v>
      </c>
      <c r="M7" s="547">
        <v>6642</v>
      </c>
      <c r="N7" s="547">
        <v>6659</v>
      </c>
      <c r="O7" s="547">
        <v>6791</v>
      </c>
      <c r="P7" s="547">
        <v>6870</v>
      </c>
      <c r="Q7" s="547">
        <v>6955</v>
      </c>
      <c r="R7" s="547">
        <v>7153</v>
      </c>
      <c r="S7" s="547">
        <v>6758</v>
      </c>
      <c r="T7" s="1106">
        <v>6867</v>
      </c>
    </row>
    <row r="8" spans="1:20">
      <c r="A8" s="545" t="s">
        <v>56</v>
      </c>
      <c r="B8" s="548">
        <v>6263</v>
      </c>
      <c r="C8" s="548">
        <v>8711</v>
      </c>
      <c r="D8" s="548">
        <v>9666</v>
      </c>
      <c r="E8" s="548">
        <v>10013</v>
      </c>
      <c r="F8" s="548">
        <v>9747</v>
      </c>
      <c r="G8" s="548">
        <v>9724</v>
      </c>
      <c r="H8" s="548">
        <v>9533</v>
      </c>
      <c r="I8" s="548">
        <v>8278</v>
      </c>
      <c r="J8" s="548">
        <v>7794</v>
      </c>
      <c r="K8" s="548">
        <v>8477</v>
      </c>
      <c r="L8" s="548">
        <v>9117</v>
      </c>
      <c r="M8" s="548">
        <v>8755</v>
      </c>
      <c r="N8" s="548">
        <v>8322</v>
      </c>
      <c r="O8" s="548">
        <v>7498</v>
      </c>
      <c r="P8" s="548">
        <v>6538</v>
      </c>
      <c r="Q8" s="548">
        <v>6465</v>
      </c>
      <c r="R8" s="548">
        <v>6308</v>
      </c>
      <c r="S8" s="548">
        <v>5931</v>
      </c>
      <c r="T8" s="1099">
        <v>5688</v>
      </c>
    </row>
    <row r="9" spans="1:20">
      <c r="A9" s="545" t="s">
        <v>57</v>
      </c>
      <c r="B9" s="548">
        <v>1229</v>
      </c>
      <c r="C9" s="548">
        <v>1491</v>
      </c>
      <c r="D9" s="548">
        <v>2060</v>
      </c>
      <c r="E9" s="548">
        <v>2863</v>
      </c>
      <c r="F9" s="548">
        <v>3130</v>
      </c>
      <c r="G9" s="548">
        <v>3136</v>
      </c>
      <c r="H9" s="548">
        <v>2881</v>
      </c>
      <c r="I9" s="548">
        <v>2366</v>
      </c>
      <c r="J9" s="548">
        <v>2057</v>
      </c>
      <c r="K9" s="548">
        <v>2343</v>
      </c>
      <c r="L9" s="548">
        <v>2813</v>
      </c>
      <c r="M9" s="548">
        <v>3187</v>
      </c>
      <c r="N9" s="548">
        <v>3183</v>
      </c>
      <c r="O9" s="548">
        <v>2891</v>
      </c>
      <c r="P9" s="548">
        <v>2647</v>
      </c>
      <c r="Q9" s="548">
        <v>2649</v>
      </c>
      <c r="R9" s="548">
        <v>2885</v>
      </c>
      <c r="S9" s="548">
        <v>3095</v>
      </c>
      <c r="T9" s="1099">
        <v>3480</v>
      </c>
    </row>
    <row r="10" spans="1:20">
      <c r="A10" s="545" t="s">
        <v>58</v>
      </c>
      <c r="B10" s="548">
        <v>36</v>
      </c>
      <c r="C10" s="548">
        <v>78</v>
      </c>
      <c r="D10" s="548">
        <v>125</v>
      </c>
      <c r="E10" s="548">
        <v>148</v>
      </c>
      <c r="F10" s="548">
        <v>153</v>
      </c>
      <c r="G10" s="548">
        <v>233</v>
      </c>
      <c r="H10" s="548">
        <v>270</v>
      </c>
      <c r="I10" s="548">
        <v>367</v>
      </c>
      <c r="J10" s="548">
        <v>393</v>
      </c>
      <c r="K10" s="548">
        <v>706</v>
      </c>
      <c r="L10" s="548">
        <v>806</v>
      </c>
      <c r="M10" s="548">
        <v>971</v>
      </c>
      <c r="N10" s="548">
        <v>1181</v>
      </c>
      <c r="O10" s="548">
        <v>1548</v>
      </c>
      <c r="P10" s="548">
        <v>1578</v>
      </c>
      <c r="Q10" s="548">
        <v>1952</v>
      </c>
      <c r="R10" s="548">
        <v>1907</v>
      </c>
      <c r="S10" s="548">
        <v>2210</v>
      </c>
      <c r="T10" s="1099">
        <v>2458</v>
      </c>
    </row>
    <row r="11" spans="1:20">
      <c r="A11" s="545" t="s">
        <v>59</v>
      </c>
      <c r="B11" s="548">
        <v>4971</v>
      </c>
      <c r="C11" s="548">
        <v>7417</v>
      </c>
      <c r="D11" s="548">
        <v>8723</v>
      </c>
      <c r="E11" s="548">
        <v>9839</v>
      </c>
      <c r="F11" s="548">
        <v>10880</v>
      </c>
      <c r="G11" s="548">
        <v>12307</v>
      </c>
      <c r="H11" s="548">
        <v>11513</v>
      </c>
      <c r="I11" s="548">
        <v>10916</v>
      </c>
      <c r="J11" s="548">
        <v>12700</v>
      </c>
      <c r="K11" s="548">
        <v>13560</v>
      </c>
      <c r="L11" s="548">
        <v>13281</v>
      </c>
      <c r="M11" s="548">
        <v>14048</v>
      </c>
      <c r="N11" s="548">
        <v>13985</v>
      </c>
      <c r="O11" s="548">
        <v>15104</v>
      </c>
      <c r="P11" s="548">
        <v>13404</v>
      </c>
      <c r="Q11" s="548">
        <v>12940</v>
      </c>
      <c r="R11" s="548">
        <v>12346</v>
      </c>
      <c r="S11" s="548">
        <v>13073</v>
      </c>
      <c r="T11" s="1099">
        <v>13202</v>
      </c>
    </row>
    <row r="12" spans="1:20">
      <c r="A12" s="546" t="s">
        <v>51</v>
      </c>
      <c r="B12" s="549">
        <v>282</v>
      </c>
      <c r="C12" s="549">
        <v>410</v>
      </c>
      <c r="D12" s="549">
        <v>397</v>
      </c>
      <c r="E12" s="549">
        <v>409</v>
      </c>
      <c r="F12" s="549">
        <v>426</v>
      </c>
      <c r="G12" s="549">
        <v>460</v>
      </c>
      <c r="H12" s="549">
        <v>395</v>
      </c>
      <c r="I12" s="549">
        <v>363</v>
      </c>
      <c r="J12" s="549">
        <v>419</v>
      </c>
      <c r="K12" s="549">
        <v>505</v>
      </c>
      <c r="L12" s="549">
        <v>491</v>
      </c>
      <c r="M12" s="549">
        <v>643</v>
      </c>
      <c r="N12" s="549">
        <v>581</v>
      </c>
      <c r="O12" s="549">
        <v>471</v>
      </c>
      <c r="P12" s="549">
        <v>877</v>
      </c>
      <c r="Q12" s="549">
        <v>878</v>
      </c>
      <c r="R12" s="549">
        <v>905</v>
      </c>
      <c r="S12" s="549">
        <v>1137</v>
      </c>
      <c r="T12" s="1223">
        <v>1193</v>
      </c>
    </row>
    <row r="13" spans="1:20">
      <c r="A13" s="526" t="s">
        <v>52</v>
      </c>
      <c r="B13" s="538">
        <f>SUM(B7:B12)</f>
        <v>16584</v>
      </c>
      <c r="C13" s="538">
        <f t="shared" ref="C13:S13" si="1">SUM(C7:C12)</f>
        <v>23577</v>
      </c>
      <c r="D13" s="538">
        <f t="shared" si="1"/>
        <v>27363</v>
      </c>
      <c r="E13" s="538">
        <f t="shared" si="1"/>
        <v>30200</v>
      </c>
      <c r="F13" s="538">
        <f t="shared" si="1"/>
        <v>31177</v>
      </c>
      <c r="G13" s="538">
        <f t="shared" si="1"/>
        <v>32881</v>
      </c>
      <c r="H13" s="538">
        <f t="shared" si="1"/>
        <v>31030</v>
      </c>
      <c r="I13" s="538">
        <f t="shared" si="1"/>
        <v>28375</v>
      </c>
      <c r="J13" s="538">
        <f t="shared" si="1"/>
        <v>30067</v>
      </c>
      <c r="K13" s="538">
        <f t="shared" si="1"/>
        <v>32704</v>
      </c>
      <c r="L13" s="538">
        <f t="shared" si="1"/>
        <v>33108</v>
      </c>
      <c r="M13" s="538">
        <f t="shared" si="1"/>
        <v>34246</v>
      </c>
      <c r="N13" s="538">
        <f t="shared" si="1"/>
        <v>33911</v>
      </c>
      <c r="O13" s="538">
        <f t="shared" si="1"/>
        <v>34303</v>
      </c>
      <c r="P13" s="538">
        <f t="shared" si="1"/>
        <v>31914</v>
      </c>
      <c r="Q13" s="538">
        <f t="shared" si="1"/>
        <v>31839</v>
      </c>
      <c r="R13" s="538">
        <f t="shared" si="1"/>
        <v>31504</v>
      </c>
      <c r="S13" s="538">
        <f t="shared" si="1"/>
        <v>32204</v>
      </c>
      <c r="T13" s="1187">
        <f>SUM(T7:T12)</f>
        <v>32888</v>
      </c>
    </row>
  </sheetData>
  <hyperlinks>
    <hyperlink ref="T1" location="Content!A1" display="ToC" xr:uid="{EE36390B-8B56-4D8C-B9E2-C58F379AFCD0}"/>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874F-1764-4DC2-A019-3A42D6B0D557}">
  <dimension ref="A1:DA129"/>
  <sheetViews>
    <sheetView zoomScaleNormal="100" workbookViewId="0">
      <pane xSplit="2" ySplit="6" topLeftCell="C7" activePane="bottomRight" state="frozenSplit"/>
      <selection pane="topRight" activeCell="P5" sqref="C5:P5"/>
      <selection pane="bottomLeft" activeCell="A6" sqref="A6"/>
      <selection pane="bottomRight" activeCell="BJ3" sqref="BJ3"/>
    </sheetView>
  </sheetViews>
  <sheetFormatPr defaultRowHeight="15"/>
  <cols>
    <col min="2" max="2" width="11.140625" customWidth="1"/>
    <col min="3" max="16" width="9.140625" customWidth="1"/>
    <col min="17" max="28" width="9.7109375" customWidth="1"/>
    <col min="29" max="29" width="10" customWidth="1"/>
    <col min="30" max="30" width="11.7109375" customWidth="1"/>
  </cols>
  <sheetData>
    <row r="1" spans="1:31" ht="21">
      <c r="A1" s="496" t="s">
        <v>32</v>
      </c>
      <c r="AC1" s="888" t="s">
        <v>458</v>
      </c>
    </row>
    <row r="2" spans="1:31" ht="18.75">
      <c r="A2" s="495" t="s">
        <v>366</v>
      </c>
    </row>
    <row r="3" spans="1:31" ht="18.75">
      <c r="A3" s="495" t="s">
        <v>259</v>
      </c>
      <c r="AC3" s="1086"/>
    </row>
    <row r="4" spans="1:31" ht="18.75">
      <c r="A4" s="495" t="s">
        <v>367</v>
      </c>
      <c r="AC4" s="1086"/>
    </row>
    <row r="5" spans="1:31">
      <c r="AC5" s="1086"/>
    </row>
    <row r="6" spans="1:31">
      <c r="A6" s="534" t="s">
        <v>34</v>
      </c>
      <c r="B6" s="534" t="s">
        <v>53</v>
      </c>
      <c r="C6" s="534">
        <v>1996</v>
      </c>
      <c r="D6" s="534">
        <f t="shared" ref="D6:G6" si="0">C6+1</f>
        <v>1997</v>
      </c>
      <c r="E6" s="534">
        <f t="shared" si="0"/>
        <v>1998</v>
      </c>
      <c r="F6" s="534">
        <f t="shared" si="0"/>
        <v>1999</v>
      </c>
      <c r="G6" s="534">
        <f t="shared" si="0"/>
        <v>2000</v>
      </c>
      <c r="H6" s="534">
        <f>G6+1</f>
        <v>2001</v>
      </c>
      <c r="I6" s="534">
        <f t="shared" ref="I6:AC6" si="1">H6+1</f>
        <v>2002</v>
      </c>
      <c r="J6" s="534">
        <f t="shared" si="1"/>
        <v>2003</v>
      </c>
      <c r="K6" s="534">
        <f t="shared" si="1"/>
        <v>2004</v>
      </c>
      <c r="L6" s="534">
        <f t="shared" si="1"/>
        <v>2005</v>
      </c>
      <c r="M6" s="534">
        <f t="shared" si="1"/>
        <v>2006</v>
      </c>
      <c r="N6" s="534">
        <f t="shared" si="1"/>
        <v>2007</v>
      </c>
      <c r="O6" s="534">
        <f t="shared" si="1"/>
        <v>2008</v>
      </c>
      <c r="P6" s="534">
        <f t="shared" si="1"/>
        <v>2009</v>
      </c>
      <c r="Q6" s="534">
        <f t="shared" si="1"/>
        <v>2010</v>
      </c>
      <c r="R6" s="534">
        <f t="shared" si="1"/>
        <v>2011</v>
      </c>
      <c r="S6" s="534">
        <f t="shared" si="1"/>
        <v>2012</v>
      </c>
      <c r="T6" s="534">
        <f t="shared" si="1"/>
        <v>2013</v>
      </c>
      <c r="U6" s="534">
        <f t="shared" si="1"/>
        <v>2014</v>
      </c>
      <c r="V6" s="534">
        <f t="shared" si="1"/>
        <v>2015</v>
      </c>
      <c r="W6" s="534">
        <f t="shared" si="1"/>
        <v>2016</v>
      </c>
      <c r="X6" s="534">
        <f t="shared" si="1"/>
        <v>2017</v>
      </c>
      <c r="Y6" s="534">
        <f t="shared" si="1"/>
        <v>2018</v>
      </c>
      <c r="Z6" s="534">
        <f t="shared" si="1"/>
        <v>2019</v>
      </c>
      <c r="AA6" s="534">
        <f t="shared" si="1"/>
        <v>2020</v>
      </c>
      <c r="AB6" s="534">
        <f t="shared" si="1"/>
        <v>2021</v>
      </c>
      <c r="AC6" s="1106">
        <f t="shared" si="1"/>
        <v>2022</v>
      </c>
    </row>
    <row r="7" spans="1:31">
      <c r="A7" s="534" t="s">
        <v>36</v>
      </c>
      <c r="B7" s="534" t="s">
        <v>55</v>
      </c>
      <c r="C7" s="534">
        <v>31490</v>
      </c>
      <c r="D7" s="534">
        <v>36510</v>
      </c>
      <c r="E7" s="534">
        <v>41490</v>
      </c>
      <c r="F7" s="534">
        <v>45028</v>
      </c>
      <c r="G7" s="603">
        <v>49785</v>
      </c>
      <c r="H7" s="603">
        <v>53737</v>
      </c>
      <c r="I7" s="603">
        <v>53440</v>
      </c>
      <c r="J7" s="603">
        <v>58315</v>
      </c>
      <c r="K7" s="603">
        <v>61207</v>
      </c>
      <c r="L7" s="603">
        <v>63704</v>
      </c>
      <c r="M7" s="603">
        <v>65776</v>
      </c>
      <c r="N7" s="603">
        <v>68991</v>
      </c>
      <c r="O7" s="603">
        <v>72337</v>
      </c>
      <c r="P7" s="603">
        <v>68597</v>
      </c>
      <c r="Q7" s="603">
        <v>74408</v>
      </c>
      <c r="R7" s="603">
        <v>71904</v>
      </c>
      <c r="S7" s="603">
        <v>72965</v>
      </c>
      <c r="T7" s="603">
        <v>73420</v>
      </c>
      <c r="U7" s="603">
        <v>75180</v>
      </c>
      <c r="V7" s="603">
        <v>76097</v>
      </c>
      <c r="W7" s="603">
        <v>76052</v>
      </c>
      <c r="X7" s="603">
        <v>78493</v>
      </c>
      <c r="Y7" s="603">
        <v>81594</v>
      </c>
      <c r="Z7" s="603">
        <v>82554</v>
      </c>
      <c r="AA7" s="603">
        <v>81531</v>
      </c>
      <c r="AB7" s="603">
        <v>83894</v>
      </c>
      <c r="AC7" s="1166">
        <v>83955</v>
      </c>
      <c r="AD7" s="1097"/>
      <c r="AE7" s="1096"/>
    </row>
    <row r="8" spans="1:31">
      <c r="A8" s="525"/>
      <c r="B8" s="545" t="s">
        <v>56</v>
      </c>
      <c r="C8" s="545">
        <v>11357</v>
      </c>
      <c r="D8" s="545">
        <v>12856</v>
      </c>
      <c r="E8" s="545">
        <v>13813</v>
      </c>
      <c r="F8" s="545">
        <v>14604</v>
      </c>
      <c r="G8" s="548">
        <v>17096</v>
      </c>
      <c r="H8" s="548">
        <v>19845</v>
      </c>
      <c r="I8" s="548">
        <v>15912</v>
      </c>
      <c r="J8" s="548">
        <v>18527</v>
      </c>
      <c r="K8" s="548">
        <v>20604</v>
      </c>
      <c r="L8" s="548">
        <v>21489</v>
      </c>
      <c r="M8" s="548">
        <v>22174</v>
      </c>
      <c r="N8" s="548">
        <v>22932</v>
      </c>
      <c r="O8" s="548">
        <v>23104</v>
      </c>
      <c r="P8" s="548">
        <v>19933</v>
      </c>
      <c r="Q8" s="548">
        <v>21824</v>
      </c>
      <c r="R8" s="548">
        <v>20568</v>
      </c>
      <c r="S8" s="548">
        <v>22700</v>
      </c>
      <c r="T8" s="548">
        <v>22555</v>
      </c>
      <c r="U8" s="548">
        <v>22018</v>
      </c>
      <c r="V8" s="548">
        <v>21426</v>
      </c>
      <c r="W8" s="548">
        <v>21008</v>
      </c>
      <c r="X8" s="548">
        <v>21774</v>
      </c>
      <c r="Y8" s="548">
        <v>22591</v>
      </c>
      <c r="Z8" s="548">
        <v>22086</v>
      </c>
      <c r="AA8" s="548">
        <v>21954</v>
      </c>
      <c r="AB8" s="548">
        <v>21672</v>
      </c>
      <c r="AC8" s="1166">
        <v>21576</v>
      </c>
      <c r="AD8" s="1097"/>
      <c r="AE8" s="1096"/>
    </row>
    <row r="9" spans="1:31">
      <c r="A9" s="525"/>
      <c r="B9" s="545" t="s">
        <v>57</v>
      </c>
      <c r="C9" s="760"/>
      <c r="D9" s="760"/>
      <c r="E9" s="760"/>
      <c r="F9" s="760"/>
      <c r="G9" s="761"/>
      <c r="H9" s="761"/>
      <c r="I9" s="761"/>
      <c r="J9" s="761"/>
      <c r="K9" s="761"/>
      <c r="L9" s="761"/>
      <c r="M9" s="761"/>
      <c r="N9" s="548">
        <v>4947</v>
      </c>
      <c r="O9" s="548">
        <v>4348</v>
      </c>
      <c r="P9" s="548">
        <v>4193</v>
      </c>
      <c r="Q9" s="548">
        <v>4715</v>
      </c>
      <c r="R9" s="548">
        <v>4889</v>
      </c>
      <c r="S9" s="548">
        <v>5711</v>
      </c>
      <c r="T9" s="548">
        <v>6336</v>
      </c>
      <c r="U9" s="548">
        <v>6141</v>
      </c>
      <c r="V9" s="548">
        <v>6411</v>
      </c>
      <c r="W9" s="548">
        <v>6824</v>
      </c>
      <c r="X9" s="548">
        <v>6457</v>
      </c>
      <c r="Y9" s="548">
        <v>7263</v>
      </c>
      <c r="Z9" s="548">
        <v>8339</v>
      </c>
      <c r="AA9" s="548">
        <v>9084</v>
      </c>
      <c r="AB9" s="548">
        <v>9421</v>
      </c>
      <c r="AC9" s="1166">
        <v>10367</v>
      </c>
      <c r="AD9" s="1097"/>
      <c r="AE9" s="1096"/>
    </row>
    <row r="10" spans="1:31">
      <c r="A10" s="525"/>
      <c r="B10" s="545" t="s">
        <v>58</v>
      </c>
      <c r="C10" s="760"/>
      <c r="D10" s="760"/>
      <c r="E10" s="760"/>
      <c r="F10" s="760"/>
      <c r="G10" s="761"/>
      <c r="H10" s="761"/>
      <c r="I10" s="761"/>
      <c r="J10" s="761"/>
      <c r="K10" s="761"/>
      <c r="L10" s="761"/>
      <c r="M10" s="761"/>
      <c r="N10" s="761"/>
      <c r="O10" s="548">
        <v>1503</v>
      </c>
      <c r="P10" s="548">
        <v>1631</v>
      </c>
      <c r="Q10" s="548">
        <v>2049</v>
      </c>
      <c r="R10" s="548">
        <v>2548</v>
      </c>
      <c r="S10" s="548">
        <v>3731</v>
      </c>
      <c r="T10" s="548">
        <v>4056</v>
      </c>
      <c r="U10" s="548">
        <v>4624</v>
      </c>
      <c r="V10" s="548">
        <v>5721</v>
      </c>
      <c r="W10" s="548">
        <v>7150</v>
      </c>
      <c r="X10" s="548">
        <v>8641</v>
      </c>
      <c r="Y10" s="548">
        <v>9480</v>
      </c>
      <c r="Z10" s="548">
        <v>12227</v>
      </c>
      <c r="AA10" s="548">
        <v>13436</v>
      </c>
      <c r="AB10" s="548">
        <v>16550</v>
      </c>
      <c r="AC10" s="1166">
        <v>19041</v>
      </c>
      <c r="AD10" s="1097"/>
      <c r="AE10" s="1096"/>
    </row>
    <row r="11" spans="1:31">
      <c r="A11" s="525"/>
      <c r="B11" s="545" t="s">
        <v>59</v>
      </c>
      <c r="C11" s="545">
        <v>18638</v>
      </c>
      <c r="D11" s="545">
        <v>20497</v>
      </c>
      <c r="E11" s="545">
        <v>23502</v>
      </c>
      <c r="F11" s="545">
        <v>25393</v>
      </c>
      <c r="G11" s="548">
        <v>28488</v>
      </c>
      <c r="H11" s="548">
        <v>30450</v>
      </c>
      <c r="I11" s="548">
        <v>30118</v>
      </c>
      <c r="J11" s="548">
        <v>31893</v>
      </c>
      <c r="K11" s="548">
        <v>32627</v>
      </c>
      <c r="L11" s="548">
        <v>32706</v>
      </c>
      <c r="M11" s="548">
        <v>34818</v>
      </c>
      <c r="N11" s="548">
        <v>35533</v>
      </c>
      <c r="O11" s="548">
        <v>37234</v>
      </c>
      <c r="P11" s="548">
        <v>32966</v>
      </c>
      <c r="Q11" s="548">
        <v>39519</v>
      </c>
      <c r="R11" s="548">
        <v>34993</v>
      </c>
      <c r="S11" s="548">
        <v>35222</v>
      </c>
      <c r="T11" s="548">
        <v>33834</v>
      </c>
      <c r="U11" s="548">
        <v>36491</v>
      </c>
      <c r="V11" s="548">
        <v>42692</v>
      </c>
      <c r="W11" s="548">
        <v>40076</v>
      </c>
      <c r="X11" s="548">
        <v>42463</v>
      </c>
      <c r="Y11" s="548">
        <v>43789</v>
      </c>
      <c r="Z11" s="548">
        <v>46177</v>
      </c>
      <c r="AA11" s="548">
        <v>44250</v>
      </c>
      <c r="AB11" s="548">
        <v>46712</v>
      </c>
      <c r="AC11" s="1166">
        <v>48088</v>
      </c>
      <c r="AD11" s="1097"/>
      <c r="AE11" s="1096"/>
    </row>
    <row r="12" spans="1:31">
      <c r="A12" s="525"/>
      <c r="B12" s="746" t="s">
        <v>51</v>
      </c>
      <c r="C12" s="746">
        <v>2415</v>
      </c>
      <c r="D12" s="746">
        <v>3041</v>
      </c>
      <c r="E12" s="746">
        <v>3582</v>
      </c>
      <c r="F12" s="746">
        <v>4297</v>
      </c>
      <c r="G12" s="747">
        <v>5340</v>
      </c>
      <c r="H12" s="747">
        <v>5993</v>
      </c>
      <c r="I12" s="747">
        <v>6773</v>
      </c>
      <c r="J12" s="747">
        <v>8056</v>
      </c>
      <c r="K12" s="747">
        <v>9337</v>
      </c>
      <c r="L12" s="747">
        <v>10855</v>
      </c>
      <c r="M12" s="747">
        <v>12661</v>
      </c>
      <c r="N12" s="747">
        <v>9036</v>
      </c>
      <c r="O12" s="747">
        <v>8118</v>
      </c>
      <c r="P12" s="747">
        <v>7222</v>
      </c>
      <c r="Q12" s="747">
        <v>8446</v>
      </c>
      <c r="R12" s="747">
        <v>7908</v>
      </c>
      <c r="S12" s="747">
        <v>8165</v>
      </c>
      <c r="T12" s="747">
        <v>7668</v>
      </c>
      <c r="U12" s="747">
        <v>7527</v>
      </c>
      <c r="V12" s="747">
        <v>7675</v>
      </c>
      <c r="W12" s="747">
        <v>8243</v>
      </c>
      <c r="X12" s="747">
        <v>8766</v>
      </c>
      <c r="Y12" s="747">
        <v>9764</v>
      </c>
      <c r="Z12" s="747">
        <v>10149</v>
      </c>
      <c r="AA12" s="747">
        <v>10162</v>
      </c>
      <c r="AB12" s="747">
        <v>10560</v>
      </c>
      <c r="AC12" s="1166">
        <v>10433</v>
      </c>
      <c r="AD12" s="1097"/>
      <c r="AE12" s="1096"/>
    </row>
    <row r="13" spans="1:31">
      <c r="A13" s="526"/>
      <c r="B13" s="526" t="s">
        <v>52</v>
      </c>
      <c r="C13" s="538">
        <f t="shared" ref="C13" si="2">SUM(C7:C12)</f>
        <v>63900</v>
      </c>
      <c r="D13" s="538">
        <f t="shared" ref="D13" si="3">SUM(D7:D12)</f>
        <v>72904</v>
      </c>
      <c r="E13" s="538">
        <f t="shared" ref="E13" si="4">SUM(E7:E12)</f>
        <v>82387</v>
      </c>
      <c r="F13" s="538">
        <f t="shared" ref="F13" si="5">SUM(F7:F12)</f>
        <v>89322</v>
      </c>
      <c r="G13" s="538">
        <f t="shared" ref="G13:P13" si="6">SUM(G7:G12)</f>
        <v>100709</v>
      </c>
      <c r="H13" s="538">
        <f t="shared" si="6"/>
        <v>110025</v>
      </c>
      <c r="I13" s="538">
        <f t="shared" si="6"/>
        <v>106243</v>
      </c>
      <c r="J13" s="538">
        <f t="shared" si="6"/>
        <v>116791</v>
      </c>
      <c r="K13" s="538">
        <f t="shared" si="6"/>
        <v>123775</v>
      </c>
      <c r="L13" s="538">
        <f t="shared" si="6"/>
        <v>128754</v>
      </c>
      <c r="M13" s="538">
        <f t="shared" si="6"/>
        <v>135429</v>
      </c>
      <c r="N13" s="538">
        <f t="shared" si="6"/>
        <v>141439</v>
      </c>
      <c r="O13" s="538">
        <f t="shared" si="6"/>
        <v>146644</v>
      </c>
      <c r="P13" s="538">
        <f t="shared" si="6"/>
        <v>134542</v>
      </c>
      <c r="Q13" s="538">
        <v>150961</v>
      </c>
      <c r="R13" s="538">
        <v>142810</v>
      </c>
      <c r="S13" s="538">
        <v>148494</v>
      </c>
      <c r="T13" s="538">
        <v>147869</v>
      </c>
      <c r="U13" s="538">
        <v>151981</v>
      </c>
      <c r="V13" s="538">
        <v>160022</v>
      </c>
      <c r="W13" s="538">
        <v>159353</v>
      </c>
      <c r="X13" s="538">
        <v>166594</v>
      </c>
      <c r="Y13" s="538">
        <v>174481</v>
      </c>
      <c r="Z13" s="538">
        <v>181532</v>
      </c>
      <c r="AA13" s="538">
        <v>180417</v>
      </c>
      <c r="AB13" s="538">
        <v>188809</v>
      </c>
      <c r="AC13" s="1167">
        <f>SUM(AC7:AC12)</f>
        <v>193460</v>
      </c>
      <c r="AD13" s="1095"/>
      <c r="AE13" s="605"/>
    </row>
    <row r="14" spans="1:31">
      <c r="A14" s="534" t="s">
        <v>38</v>
      </c>
      <c r="B14" s="534" t="s">
        <v>55</v>
      </c>
      <c r="C14" s="534">
        <v>15065</v>
      </c>
      <c r="D14" s="534">
        <v>11747</v>
      </c>
      <c r="E14" s="534">
        <v>16077</v>
      </c>
      <c r="F14" s="534">
        <v>18984</v>
      </c>
      <c r="G14" s="603">
        <v>20208</v>
      </c>
      <c r="H14" s="603">
        <v>21832</v>
      </c>
      <c r="I14" s="603">
        <v>13889</v>
      </c>
      <c r="J14" s="603">
        <v>18419</v>
      </c>
      <c r="K14" s="603">
        <v>21516</v>
      </c>
      <c r="L14" s="603">
        <v>22463</v>
      </c>
      <c r="M14" s="603">
        <v>23827</v>
      </c>
      <c r="N14" s="603">
        <v>24611</v>
      </c>
      <c r="O14" s="603">
        <v>24791</v>
      </c>
      <c r="P14" s="603">
        <v>21251</v>
      </c>
      <c r="Q14" s="603">
        <v>21123</v>
      </c>
      <c r="R14" s="603">
        <v>21023</v>
      </c>
      <c r="S14" s="603">
        <v>20899</v>
      </c>
      <c r="T14" s="603">
        <v>20604</v>
      </c>
      <c r="U14" s="603">
        <v>21150</v>
      </c>
      <c r="V14" s="603">
        <v>20784</v>
      </c>
      <c r="W14" s="603">
        <v>20568</v>
      </c>
      <c r="X14" s="603">
        <v>20559</v>
      </c>
      <c r="Y14" s="603">
        <v>20884</v>
      </c>
      <c r="Z14" s="603">
        <v>20394</v>
      </c>
      <c r="AA14" s="603">
        <v>19272</v>
      </c>
      <c r="AB14" s="603">
        <v>20895</v>
      </c>
      <c r="AC14" s="1166">
        <v>21591</v>
      </c>
      <c r="AD14" s="1097"/>
      <c r="AE14" s="605"/>
    </row>
    <row r="15" spans="1:31">
      <c r="A15" s="525"/>
      <c r="B15" s="545" t="s">
        <v>56</v>
      </c>
      <c r="C15" s="545">
        <v>340101</v>
      </c>
      <c r="D15" s="545">
        <v>350807</v>
      </c>
      <c r="E15" s="545">
        <v>359381</v>
      </c>
      <c r="F15" s="545">
        <v>360180</v>
      </c>
      <c r="G15" s="548">
        <v>387364</v>
      </c>
      <c r="H15" s="548">
        <v>386767</v>
      </c>
      <c r="I15" s="548">
        <v>369458</v>
      </c>
      <c r="J15" s="548">
        <v>362711</v>
      </c>
      <c r="K15" s="548">
        <v>368416</v>
      </c>
      <c r="L15" s="548">
        <v>367960</v>
      </c>
      <c r="M15" s="548">
        <v>347060</v>
      </c>
      <c r="N15" s="548">
        <v>333498</v>
      </c>
      <c r="O15" s="548">
        <v>330110</v>
      </c>
      <c r="P15" s="548">
        <v>295315</v>
      </c>
      <c r="Q15" s="548">
        <v>290081</v>
      </c>
      <c r="R15" s="548">
        <v>287580</v>
      </c>
      <c r="S15" s="548">
        <v>287013</v>
      </c>
      <c r="T15" s="548">
        <v>271731</v>
      </c>
      <c r="U15" s="548">
        <v>265959</v>
      </c>
      <c r="V15" s="548">
        <v>258839</v>
      </c>
      <c r="W15" s="548">
        <v>260244</v>
      </c>
      <c r="X15" s="548">
        <v>260290</v>
      </c>
      <c r="Y15" s="548">
        <v>253630</v>
      </c>
      <c r="Z15" s="548">
        <v>245372</v>
      </c>
      <c r="AA15" s="548">
        <v>227348</v>
      </c>
      <c r="AB15" s="548">
        <v>222452</v>
      </c>
      <c r="AC15" s="1166">
        <v>218813</v>
      </c>
      <c r="AD15" s="1097"/>
      <c r="AE15" s="605"/>
    </row>
    <row r="16" spans="1:31">
      <c r="A16" s="525"/>
      <c r="B16" s="545" t="s">
        <v>57</v>
      </c>
      <c r="C16" s="760"/>
      <c r="D16" s="760"/>
      <c r="E16" s="760"/>
      <c r="F16" s="760"/>
      <c r="G16" s="761"/>
      <c r="H16" s="761"/>
      <c r="I16" s="761"/>
      <c r="J16" s="761"/>
      <c r="K16" s="761"/>
      <c r="L16" s="761"/>
      <c r="M16" s="761"/>
      <c r="N16" s="548">
        <v>6347</v>
      </c>
      <c r="O16" s="548">
        <v>5599</v>
      </c>
      <c r="P16" s="548">
        <v>4782</v>
      </c>
      <c r="Q16" s="548">
        <v>4872</v>
      </c>
      <c r="R16" s="548">
        <v>5007</v>
      </c>
      <c r="S16" s="548">
        <v>5708</v>
      </c>
      <c r="T16" s="548">
        <v>6134</v>
      </c>
      <c r="U16" s="548">
        <v>5682</v>
      </c>
      <c r="V16" s="548">
        <v>5222</v>
      </c>
      <c r="W16" s="548">
        <v>5216</v>
      </c>
      <c r="X16" s="548">
        <v>4172</v>
      </c>
      <c r="Y16" s="548">
        <v>5070</v>
      </c>
      <c r="Z16" s="548">
        <v>5634</v>
      </c>
      <c r="AA16" s="548">
        <v>5881</v>
      </c>
      <c r="AB16" s="548">
        <v>5936</v>
      </c>
      <c r="AC16" s="1166">
        <v>7149</v>
      </c>
      <c r="AD16" s="1097"/>
      <c r="AE16" s="605"/>
    </row>
    <row r="17" spans="1:31">
      <c r="A17" s="525"/>
      <c r="B17" s="545" t="s">
        <v>58</v>
      </c>
      <c r="C17" s="760"/>
      <c r="D17" s="760"/>
      <c r="E17" s="760"/>
      <c r="F17" s="760"/>
      <c r="G17" s="761"/>
      <c r="H17" s="761"/>
      <c r="I17" s="761"/>
      <c r="J17" s="761"/>
      <c r="K17" s="761"/>
      <c r="L17" s="761"/>
      <c r="M17" s="761"/>
      <c r="N17" s="761"/>
      <c r="O17" s="548">
        <v>772</v>
      </c>
      <c r="P17" s="548">
        <v>891</v>
      </c>
      <c r="Q17" s="548">
        <v>1063</v>
      </c>
      <c r="R17" s="548">
        <v>1401</v>
      </c>
      <c r="S17" s="548">
        <v>2022</v>
      </c>
      <c r="T17" s="548">
        <v>2064</v>
      </c>
      <c r="U17" s="548">
        <v>2531</v>
      </c>
      <c r="V17" s="548">
        <v>2840</v>
      </c>
      <c r="W17" s="548">
        <v>3810</v>
      </c>
      <c r="X17" s="548">
        <v>4735</v>
      </c>
      <c r="Y17" s="548">
        <v>5325</v>
      </c>
      <c r="Z17" s="548">
        <v>7947</v>
      </c>
      <c r="AA17" s="548">
        <v>8406</v>
      </c>
      <c r="AB17" s="548">
        <v>9369</v>
      </c>
      <c r="AC17" s="1166">
        <v>9842</v>
      </c>
      <c r="AD17" s="1097"/>
      <c r="AE17" s="605"/>
    </row>
    <row r="18" spans="1:31">
      <c r="A18" s="525"/>
      <c r="B18" s="545" t="s">
        <v>59</v>
      </c>
      <c r="C18" s="545">
        <v>15065</v>
      </c>
      <c r="D18" s="545">
        <v>19579</v>
      </c>
      <c r="E18" s="545">
        <v>20097</v>
      </c>
      <c r="F18" s="545">
        <v>20411</v>
      </c>
      <c r="G18" s="548">
        <v>22665</v>
      </c>
      <c r="H18" s="548">
        <v>23386</v>
      </c>
      <c r="I18" s="548">
        <v>22714</v>
      </c>
      <c r="J18" s="548">
        <v>21682</v>
      </c>
      <c r="K18" s="548">
        <v>22995</v>
      </c>
      <c r="L18" s="548">
        <v>23811</v>
      </c>
      <c r="M18" s="548">
        <v>24961</v>
      </c>
      <c r="N18" s="548">
        <v>26026</v>
      </c>
      <c r="O18" s="548">
        <v>25112</v>
      </c>
      <c r="P18" s="548">
        <v>22367</v>
      </c>
      <c r="Q18" s="548">
        <v>23183</v>
      </c>
      <c r="R18" s="548">
        <v>23414</v>
      </c>
      <c r="S18" s="548">
        <v>22922</v>
      </c>
      <c r="T18" s="548">
        <v>23481</v>
      </c>
      <c r="U18" s="548">
        <v>25998</v>
      </c>
      <c r="V18" s="548">
        <v>26501</v>
      </c>
      <c r="W18" s="548">
        <v>23979</v>
      </c>
      <c r="X18" s="548">
        <v>23949</v>
      </c>
      <c r="Y18" s="548">
        <v>23121</v>
      </c>
      <c r="Z18" s="548">
        <v>22867</v>
      </c>
      <c r="AA18" s="548">
        <v>22451</v>
      </c>
      <c r="AB18" s="548">
        <v>24999</v>
      </c>
      <c r="AC18" s="1166">
        <v>26874</v>
      </c>
      <c r="AD18" s="1097"/>
      <c r="AE18" s="605"/>
    </row>
    <row r="19" spans="1:31">
      <c r="A19" s="525"/>
      <c r="B19" s="746" t="s">
        <v>51</v>
      </c>
      <c r="C19" s="746">
        <v>3766</v>
      </c>
      <c r="D19" s="746">
        <v>7831</v>
      </c>
      <c r="E19" s="746">
        <v>8039</v>
      </c>
      <c r="F19" s="746">
        <v>6080</v>
      </c>
      <c r="G19" s="747">
        <v>6628</v>
      </c>
      <c r="H19" s="747">
        <v>7190</v>
      </c>
      <c r="I19" s="747">
        <v>14983</v>
      </c>
      <c r="J19" s="747">
        <v>10280</v>
      </c>
      <c r="K19" s="747">
        <v>10154</v>
      </c>
      <c r="L19" s="747">
        <v>12844</v>
      </c>
      <c r="M19" s="747">
        <v>12826</v>
      </c>
      <c r="N19" s="747">
        <v>5809</v>
      </c>
      <c r="O19" s="747">
        <v>4618</v>
      </c>
      <c r="P19" s="747">
        <v>3990</v>
      </c>
      <c r="Q19" s="747">
        <v>4276</v>
      </c>
      <c r="R19" s="747">
        <v>4185</v>
      </c>
      <c r="S19" s="747">
        <v>4232</v>
      </c>
      <c r="T19" s="747">
        <v>4422</v>
      </c>
      <c r="U19" s="747">
        <v>4669</v>
      </c>
      <c r="V19" s="747">
        <v>4535</v>
      </c>
      <c r="W19" s="747">
        <v>4564</v>
      </c>
      <c r="X19" s="747">
        <v>4774</v>
      </c>
      <c r="Y19" s="747">
        <v>5537</v>
      </c>
      <c r="Z19" s="747">
        <v>5755</v>
      </c>
      <c r="AA19" s="747">
        <v>5114</v>
      </c>
      <c r="AB19" s="747">
        <v>5549</v>
      </c>
      <c r="AC19" s="1166">
        <v>5261</v>
      </c>
      <c r="AD19" s="1097"/>
      <c r="AE19" s="605"/>
    </row>
    <row r="20" spans="1:31">
      <c r="A20" s="526"/>
      <c r="B20" s="526" t="s">
        <v>52</v>
      </c>
      <c r="C20" s="538">
        <f t="shared" ref="C20:D20" si="7">SUM(C14:C19)</f>
        <v>373997</v>
      </c>
      <c r="D20" s="538">
        <f t="shared" si="7"/>
        <v>389964</v>
      </c>
      <c r="E20" s="538">
        <f t="shared" ref="E20" si="8">SUM(E14:E19)</f>
        <v>403594</v>
      </c>
      <c r="F20" s="538">
        <f t="shared" ref="F20" si="9">SUM(F14:F19)</f>
        <v>405655</v>
      </c>
      <c r="G20" s="538">
        <f t="shared" ref="G20" si="10">SUM(G14:G19)</f>
        <v>436865</v>
      </c>
      <c r="H20" s="538">
        <f t="shared" ref="H20" si="11">SUM(H14:H19)</f>
        <v>439175</v>
      </c>
      <c r="I20" s="538">
        <f t="shared" ref="I20" si="12">SUM(I14:I19)</f>
        <v>421044</v>
      </c>
      <c r="J20" s="538">
        <f t="shared" ref="J20" si="13">SUM(J14:J19)</f>
        <v>413092</v>
      </c>
      <c r="K20" s="538">
        <f t="shared" ref="K20" si="14">SUM(K14:K19)</f>
        <v>423081</v>
      </c>
      <c r="L20" s="538">
        <f t="shared" ref="L20" si="15">SUM(L14:L19)</f>
        <v>427078</v>
      </c>
      <c r="M20" s="538">
        <f t="shared" ref="M20" si="16">SUM(M14:M19)</f>
        <v>408674</v>
      </c>
      <c r="N20" s="538">
        <f t="shared" ref="N20" si="17">SUM(N14:N19)</f>
        <v>396291</v>
      </c>
      <c r="O20" s="538">
        <f t="shared" ref="O20:P20" si="18">SUM(O14:O19)</f>
        <v>391002</v>
      </c>
      <c r="P20" s="538">
        <f t="shared" si="18"/>
        <v>348596</v>
      </c>
      <c r="Q20" s="538">
        <v>344598</v>
      </c>
      <c r="R20" s="538">
        <v>342610</v>
      </c>
      <c r="S20" s="538">
        <v>342796</v>
      </c>
      <c r="T20" s="538">
        <v>328436</v>
      </c>
      <c r="U20" s="538">
        <v>325989</v>
      </c>
      <c r="V20" s="538">
        <v>318721</v>
      </c>
      <c r="W20" s="538">
        <v>318381</v>
      </c>
      <c r="X20" s="538">
        <v>318479</v>
      </c>
      <c r="Y20" s="538">
        <v>313567</v>
      </c>
      <c r="Z20" s="538">
        <v>307969</v>
      </c>
      <c r="AA20" s="538">
        <v>288472</v>
      </c>
      <c r="AB20" s="538">
        <v>289200</v>
      </c>
      <c r="AC20" s="1167">
        <f>SUM(AC14:AC19)</f>
        <v>289530</v>
      </c>
      <c r="AD20" s="1095"/>
      <c r="AE20" s="605"/>
    </row>
    <row r="21" spans="1:31">
      <c r="A21" s="534" t="s">
        <v>42</v>
      </c>
      <c r="B21" s="534" t="s">
        <v>55</v>
      </c>
      <c r="C21" s="762"/>
      <c r="D21" s="762"/>
      <c r="E21" s="762"/>
      <c r="F21" s="762"/>
      <c r="G21" s="763"/>
      <c r="H21" s="763"/>
      <c r="I21" s="763"/>
      <c r="J21" s="763"/>
      <c r="K21" s="763"/>
      <c r="L21" s="763"/>
      <c r="M21" s="763"/>
      <c r="N21" s="603">
        <v>11087</v>
      </c>
      <c r="O21" s="603">
        <v>11032</v>
      </c>
      <c r="P21" s="603">
        <v>9272</v>
      </c>
      <c r="Q21" s="603">
        <v>9850</v>
      </c>
      <c r="R21" s="603">
        <v>10568</v>
      </c>
      <c r="S21" s="603">
        <v>10194</v>
      </c>
      <c r="T21" s="603">
        <v>11736</v>
      </c>
      <c r="U21" s="603">
        <v>12299</v>
      </c>
      <c r="V21" s="603">
        <v>12024</v>
      </c>
      <c r="W21" s="603">
        <v>11842</v>
      </c>
      <c r="X21" s="603">
        <v>11697</v>
      </c>
      <c r="Y21" s="603">
        <v>12703</v>
      </c>
      <c r="Z21" s="603">
        <v>12242</v>
      </c>
      <c r="AA21" s="603">
        <v>11450</v>
      </c>
      <c r="AB21" s="603">
        <v>12453</v>
      </c>
      <c r="AC21" s="1166">
        <v>12934</v>
      </c>
      <c r="AD21" s="1097"/>
      <c r="AE21" s="605"/>
    </row>
    <row r="22" spans="1:31">
      <c r="A22" s="525"/>
      <c r="B22" s="545" t="s">
        <v>56</v>
      </c>
      <c r="C22" s="760"/>
      <c r="D22" s="760"/>
      <c r="E22" s="760"/>
      <c r="F22" s="760"/>
      <c r="G22" s="761"/>
      <c r="H22" s="761"/>
      <c r="I22" s="761"/>
      <c r="J22" s="761"/>
      <c r="K22" s="761"/>
      <c r="L22" s="761"/>
      <c r="M22" s="761"/>
      <c r="N22" s="548">
        <v>18100</v>
      </c>
      <c r="O22" s="548">
        <v>17552</v>
      </c>
      <c r="P22" s="548">
        <v>14168</v>
      </c>
      <c r="Q22" s="548">
        <v>14346</v>
      </c>
      <c r="R22" s="548">
        <v>15234</v>
      </c>
      <c r="S22" s="548">
        <v>16004</v>
      </c>
      <c r="T22" s="548">
        <v>16299</v>
      </c>
      <c r="U22" s="548">
        <v>15653</v>
      </c>
      <c r="V22" s="548">
        <v>15283</v>
      </c>
      <c r="W22" s="548">
        <v>14773</v>
      </c>
      <c r="X22" s="548">
        <v>15044</v>
      </c>
      <c r="Y22" s="548">
        <v>15602</v>
      </c>
      <c r="Z22" s="548">
        <v>14990</v>
      </c>
      <c r="AA22" s="548">
        <v>14026</v>
      </c>
      <c r="AB22" s="548">
        <v>14165</v>
      </c>
      <c r="AC22" s="1166">
        <v>13861</v>
      </c>
      <c r="AD22" s="1097"/>
      <c r="AE22" s="605"/>
    </row>
    <row r="23" spans="1:31">
      <c r="A23" s="525"/>
      <c r="B23" s="545" t="s">
        <v>57</v>
      </c>
      <c r="C23" s="760"/>
      <c r="D23" s="760"/>
      <c r="E23" s="760"/>
      <c r="F23" s="760"/>
      <c r="G23" s="761"/>
      <c r="H23" s="761"/>
      <c r="I23" s="761"/>
      <c r="J23" s="761"/>
      <c r="K23" s="761"/>
      <c r="L23" s="761"/>
      <c r="M23" s="761"/>
      <c r="N23" s="548">
        <v>128701</v>
      </c>
      <c r="O23" s="548">
        <v>127114</v>
      </c>
      <c r="P23" s="548">
        <v>127316</v>
      </c>
      <c r="Q23" s="548">
        <v>131805</v>
      </c>
      <c r="R23" s="548">
        <v>138034</v>
      </c>
      <c r="S23" s="548">
        <v>148136</v>
      </c>
      <c r="T23" s="548">
        <v>159978</v>
      </c>
      <c r="U23" s="548">
        <v>164073</v>
      </c>
      <c r="V23" s="548">
        <v>167273</v>
      </c>
      <c r="W23" s="548">
        <v>163423</v>
      </c>
      <c r="X23" s="548">
        <v>159031</v>
      </c>
      <c r="Y23" s="548">
        <v>162576</v>
      </c>
      <c r="Z23" s="548">
        <v>171603</v>
      </c>
      <c r="AA23" s="548">
        <v>180477</v>
      </c>
      <c r="AB23" s="548">
        <v>186245</v>
      </c>
      <c r="AC23" s="1166">
        <v>183748</v>
      </c>
      <c r="AD23" s="1097"/>
      <c r="AE23" s="605"/>
    </row>
    <row r="24" spans="1:31">
      <c r="A24" s="525"/>
      <c r="B24" s="545" t="s">
        <v>58</v>
      </c>
      <c r="C24" s="760"/>
      <c r="D24" s="760"/>
      <c r="E24" s="760"/>
      <c r="F24" s="760"/>
      <c r="G24" s="761"/>
      <c r="H24" s="761"/>
      <c r="I24" s="761"/>
      <c r="J24" s="761"/>
      <c r="K24" s="761"/>
      <c r="L24" s="761"/>
      <c r="M24" s="761"/>
      <c r="N24" s="761"/>
      <c r="O24" s="548">
        <v>481</v>
      </c>
      <c r="P24" s="548">
        <v>426</v>
      </c>
      <c r="Q24" s="548">
        <v>517</v>
      </c>
      <c r="R24" s="548">
        <v>752</v>
      </c>
      <c r="S24" s="548">
        <v>982</v>
      </c>
      <c r="T24" s="548">
        <v>1147</v>
      </c>
      <c r="U24" s="548">
        <v>1572</v>
      </c>
      <c r="V24" s="548">
        <v>1951</v>
      </c>
      <c r="W24" s="548">
        <v>2829</v>
      </c>
      <c r="X24" s="548">
        <v>3015</v>
      </c>
      <c r="Y24" s="548">
        <v>3140</v>
      </c>
      <c r="Z24" s="548">
        <v>3723</v>
      </c>
      <c r="AA24" s="548">
        <v>4282</v>
      </c>
      <c r="AB24" s="548">
        <v>6300</v>
      </c>
      <c r="AC24" s="1166">
        <v>6320</v>
      </c>
      <c r="AD24" s="1097"/>
      <c r="AE24" s="605"/>
    </row>
    <row r="25" spans="1:31">
      <c r="A25" s="525"/>
      <c r="B25" s="545" t="s">
        <v>59</v>
      </c>
      <c r="C25" s="760"/>
      <c r="D25" s="760"/>
      <c r="E25" s="760"/>
      <c r="F25" s="760"/>
      <c r="G25" s="761"/>
      <c r="H25" s="761"/>
      <c r="I25" s="761"/>
      <c r="J25" s="761"/>
      <c r="K25" s="761"/>
      <c r="L25" s="761"/>
      <c r="M25" s="761"/>
      <c r="N25" s="548">
        <v>12103</v>
      </c>
      <c r="O25" s="548">
        <v>12389</v>
      </c>
      <c r="P25" s="548">
        <v>10728</v>
      </c>
      <c r="Q25" s="548">
        <v>11516</v>
      </c>
      <c r="R25" s="548">
        <v>12139</v>
      </c>
      <c r="S25" s="548">
        <v>11346</v>
      </c>
      <c r="T25" s="548">
        <v>12991</v>
      </c>
      <c r="U25" s="548">
        <v>13982</v>
      </c>
      <c r="V25" s="548">
        <v>14657</v>
      </c>
      <c r="W25" s="548">
        <v>13651</v>
      </c>
      <c r="X25" s="548">
        <v>13497</v>
      </c>
      <c r="Y25" s="548">
        <v>13013</v>
      </c>
      <c r="Z25" s="548">
        <v>13111</v>
      </c>
      <c r="AA25" s="548">
        <v>13326</v>
      </c>
      <c r="AB25" s="548">
        <v>15508</v>
      </c>
      <c r="AC25" s="1166">
        <v>17683</v>
      </c>
      <c r="AD25" s="1097"/>
      <c r="AE25" s="605"/>
    </row>
    <row r="26" spans="1:31">
      <c r="A26" s="525"/>
      <c r="B26" s="746" t="s">
        <v>51</v>
      </c>
      <c r="C26" s="764"/>
      <c r="D26" s="764"/>
      <c r="E26" s="764"/>
      <c r="F26" s="764"/>
      <c r="G26" s="765"/>
      <c r="H26" s="765"/>
      <c r="I26" s="765"/>
      <c r="J26" s="765"/>
      <c r="K26" s="765"/>
      <c r="L26" s="765"/>
      <c r="M26" s="765"/>
      <c r="N26" s="747">
        <v>2478</v>
      </c>
      <c r="O26" s="747">
        <v>2064</v>
      </c>
      <c r="P26" s="747">
        <v>1613</v>
      </c>
      <c r="Q26" s="747">
        <v>2067</v>
      </c>
      <c r="R26" s="747">
        <v>2197</v>
      </c>
      <c r="S26" s="747">
        <v>2253</v>
      </c>
      <c r="T26" s="747">
        <v>2438</v>
      </c>
      <c r="U26" s="747">
        <v>2713</v>
      </c>
      <c r="V26" s="747">
        <v>2506</v>
      </c>
      <c r="W26" s="747">
        <v>2312</v>
      </c>
      <c r="X26" s="747">
        <v>2491</v>
      </c>
      <c r="Y26" s="747">
        <v>2958</v>
      </c>
      <c r="Z26" s="747">
        <v>3306</v>
      </c>
      <c r="AA26" s="747">
        <v>3198</v>
      </c>
      <c r="AB26" s="747">
        <v>3327</v>
      </c>
      <c r="AC26" s="1166">
        <v>3087</v>
      </c>
      <c r="AD26" s="1097"/>
      <c r="AE26" s="605"/>
    </row>
    <row r="27" spans="1:31">
      <c r="A27" s="526"/>
      <c r="B27" s="526" t="s">
        <v>52</v>
      </c>
      <c r="C27" s="766">
        <f t="shared" ref="C27" si="19">SUM(C21:C26)</f>
        <v>0</v>
      </c>
      <c r="D27" s="766">
        <f t="shared" ref="D27" si="20">SUM(D21:D26)</f>
        <v>0</v>
      </c>
      <c r="E27" s="766">
        <f t="shared" ref="E27" si="21">SUM(E21:E26)</f>
        <v>0</v>
      </c>
      <c r="F27" s="766">
        <f t="shared" ref="F27" si="22">SUM(F21:F26)</f>
        <v>0</v>
      </c>
      <c r="G27" s="766">
        <f t="shared" ref="G27" si="23">SUM(G21:G26)</f>
        <v>0</v>
      </c>
      <c r="H27" s="766">
        <f t="shared" ref="H27" si="24">SUM(H21:H26)</f>
        <v>0</v>
      </c>
      <c r="I27" s="766">
        <f t="shared" ref="I27" si="25">SUM(I21:I26)</f>
        <v>0</v>
      </c>
      <c r="J27" s="766">
        <f t="shared" ref="J27" si="26">SUM(J21:J26)</f>
        <v>0</v>
      </c>
      <c r="K27" s="766">
        <f t="shared" ref="K27" si="27">SUM(K21:K26)</f>
        <v>0</v>
      </c>
      <c r="L27" s="766">
        <f t="shared" ref="L27" si="28">SUM(L21:L26)</f>
        <v>0</v>
      </c>
      <c r="M27" s="766">
        <f t="shared" ref="M27" si="29">SUM(M21:M26)</f>
        <v>0</v>
      </c>
      <c r="N27" s="538">
        <f t="shared" ref="N27" si="30">SUM(N21:N26)</f>
        <v>172469</v>
      </c>
      <c r="O27" s="538">
        <f t="shared" ref="O27:P27" si="31">SUM(O21:O26)</f>
        <v>170632</v>
      </c>
      <c r="P27" s="538">
        <f t="shared" si="31"/>
        <v>163523</v>
      </c>
      <c r="Q27" s="538">
        <v>170101</v>
      </c>
      <c r="R27" s="538">
        <v>178924</v>
      </c>
      <c r="S27" s="538">
        <v>188915</v>
      </c>
      <c r="T27" s="538">
        <v>204589</v>
      </c>
      <c r="U27" s="538">
        <v>210292</v>
      </c>
      <c r="V27" s="538">
        <v>213694</v>
      </c>
      <c r="W27" s="538">
        <v>208830</v>
      </c>
      <c r="X27" s="538">
        <v>204775</v>
      </c>
      <c r="Y27" s="538">
        <v>209992</v>
      </c>
      <c r="Z27" s="538">
        <v>218975</v>
      </c>
      <c r="AA27" s="538">
        <v>226759</v>
      </c>
      <c r="AB27" s="538">
        <v>237998</v>
      </c>
      <c r="AC27" s="1167">
        <f>SUM(AC21:AC26)</f>
        <v>237633</v>
      </c>
      <c r="AD27" s="1095"/>
      <c r="AE27" s="605"/>
    </row>
    <row r="28" spans="1:31">
      <c r="A28" s="534" t="s">
        <v>43</v>
      </c>
      <c r="B28" s="534" t="s">
        <v>55</v>
      </c>
      <c r="C28" s="762"/>
      <c r="D28" s="762"/>
      <c r="E28" s="762"/>
      <c r="F28" s="762"/>
      <c r="G28" s="763"/>
      <c r="H28" s="763"/>
      <c r="I28" s="763"/>
      <c r="J28" s="763"/>
      <c r="K28" s="763"/>
      <c r="L28" s="763"/>
      <c r="M28" s="763"/>
      <c r="N28" s="763"/>
      <c r="O28" s="763"/>
      <c r="P28" s="763"/>
      <c r="Q28" s="603">
        <v>27735</v>
      </c>
      <c r="R28" s="603">
        <v>30199</v>
      </c>
      <c r="S28" s="603">
        <v>31780</v>
      </c>
      <c r="T28" s="603">
        <v>33287</v>
      </c>
      <c r="U28" s="603">
        <v>34947</v>
      </c>
      <c r="V28" s="603">
        <v>35365</v>
      </c>
      <c r="W28" s="603">
        <v>36467</v>
      </c>
      <c r="X28" s="603">
        <v>36818</v>
      </c>
      <c r="Y28" s="603">
        <v>39810</v>
      </c>
      <c r="Z28" s="603">
        <v>41756</v>
      </c>
      <c r="AA28" s="603">
        <v>40521</v>
      </c>
      <c r="AB28" s="603">
        <v>42548</v>
      </c>
      <c r="AC28" s="1166">
        <v>41236</v>
      </c>
      <c r="AD28" s="1097"/>
      <c r="AE28" s="605"/>
    </row>
    <row r="29" spans="1:31">
      <c r="A29" s="525"/>
      <c r="B29" s="545" t="s">
        <v>56</v>
      </c>
      <c r="C29" s="760"/>
      <c r="D29" s="760"/>
      <c r="E29" s="760"/>
      <c r="F29" s="760"/>
      <c r="G29" s="761"/>
      <c r="H29" s="761"/>
      <c r="I29" s="761"/>
      <c r="J29" s="761"/>
      <c r="K29" s="761"/>
      <c r="L29" s="761"/>
      <c r="M29" s="761"/>
      <c r="N29" s="761"/>
      <c r="O29" s="761"/>
      <c r="P29" s="761"/>
      <c r="Q29" s="548">
        <v>33882</v>
      </c>
      <c r="R29" s="548">
        <v>39231</v>
      </c>
      <c r="S29" s="548">
        <v>42278</v>
      </c>
      <c r="T29" s="548">
        <v>41193</v>
      </c>
      <c r="U29" s="548">
        <v>40460</v>
      </c>
      <c r="V29" s="548">
        <v>40078</v>
      </c>
      <c r="W29" s="548">
        <v>39207</v>
      </c>
      <c r="X29" s="548">
        <v>40908</v>
      </c>
      <c r="Y29" s="548">
        <v>45284</v>
      </c>
      <c r="Z29" s="548">
        <v>48867</v>
      </c>
      <c r="AA29" s="548">
        <v>47862</v>
      </c>
      <c r="AB29" s="548">
        <v>47010</v>
      </c>
      <c r="AC29" s="1166">
        <v>45259</v>
      </c>
      <c r="AD29" s="1097"/>
      <c r="AE29" s="605"/>
    </row>
    <row r="30" spans="1:31">
      <c r="A30" s="525"/>
      <c r="B30" s="545" t="s">
        <v>57</v>
      </c>
      <c r="C30" s="760"/>
      <c r="D30" s="760"/>
      <c r="E30" s="760"/>
      <c r="F30" s="760"/>
      <c r="G30" s="761"/>
      <c r="H30" s="761"/>
      <c r="I30" s="761"/>
      <c r="J30" s="761"/>
      <c r="K30" s="761"/>
      <c r="L30" s="761"/>
      <c r="M30" s="761"/>
      <c r="N30" s="761"/>
      <c r="O30" s="761"/>
      <c r="P30" s="761"/>
      <c r="Q30" s="548">
        <v>7178</v>
      </c>
      <c r="R30" s="548">
        <v>8129</v>
      </c>
      <c r="S30" s="548">
        <v>8985</v>
      </c>
      <c r="T30" s="548">
        <v>10866</v>
      </c>
      <c r="U30" s="548">
        <v>11528</v>
      </c>
      <c r="V30" s="548">
        <v>12907</v>
      </c>
      <c r="W30" s="548">
        <v>13764</v>
      </c>
      <c r="X30" s="548">
        <v>13180</v>
      </c>
      <c r="Y30" s="548">
        <v>13875</v>
      </c>
      <c r="Z30" s="548">
        <v>16019</v>
      </c>
      <c r="AA30" s="548">
        <v>16725</v>
      </c>
      <c r="AB30" s="548">
        <v>17691</v>
      </c>
      <c r="AC30" s="1166">
        <v>18262</v>
      </c>
      <c r="AD30" s="1097"/>
      <c r="AE30" s="605"/>
    </row>
    <row r="31" spans="1:31">
      <c r="A31" s="525"/>
      <c r="B31" s="545" t="s">
        <v>58</v>
      </c>
      <c r="C31" s="760"/>
      <c r="D31" s="760"/>
      <c r="E31" s="760"/>
      <c r="F31" s="760"/>
      <c r="G31" s="761"/>
      <c r="H31" s="761"/>
      <c r="I31" s="761"/>
      <c r="J31" s="761"/>
      <c r="K31" s="761"/>
      <c r="L31" s="761"/>
      <c r="M31" s="761"/>
      <c r="N31" s="761"/>
      <c r="O31" s="761"/>
      <c r="P31" s="761"/>
      <c r="Q31" s="548">
        <v>293066</v>
      </c>
      <c r="R31" s="548">
        <v>415829</v>
      </c>
      <c r="S31" s="548">
        <v>535315</v>
      </c>
      <c r="T31" s="548">
        <v>704936</v>
      </c>
      <c r="U31" s="548">
        <v>801135</v>
      </c>
      <c r="V31" s="548">
        <v>968251</v>
      </c>
      <c r="W31" s="548">
        <v>1204981</v>
      </c>
      <c r="X31" s="548">
        <v>1245709</v>
      </c>
      <c r="Y31" s="548">
        <v>1393815</v>
      </c>
      <c r="Z31" s="548">
        <v>1243568</v>
      </c>
      <c r="AA31" s="548">
        <v>1344817</v>
      </c>
      <c r="AB31" s="548">
        <v>1427845</v>
      </c>
      <c r="AC31" s="1166">
        <v>1464605</v>
      </c>
      <c r="AD31" s="1097"/>
      <c r="AE31" s="605"/>
    </row>
    <row r="32" spans="1:31">
      <c r="A32" s="525"/>
      <c r="B32" s="545" t="s">
        <v>59</v>
      </c>
      <c r="C32" s="760"/>
      <c r="D32" s="760"/>
      <c r="E32" s="760"/>
      <c r="F32" s="760"/>
      <c r="G32" s="761"/>
      <c r="H32" s="761"/>
      <c r="I32" s="761"/>
      <c r="J32" s="761"/>
      <c r="K32" s="761"/>
      <c r="L32" s="761"/>
      <c r="M32" s="761"/>
      <c r="N32" s="761"/>
      <c r="O32" s="761"/>
      <c r="P32" s="761"/>
      <c r="Q32" s="548">
        <v>25380</v>
      </c>
      <c r="R32" s="548">
        <v>28457</v>
      </c>
      <c r="S32" s="548">
        <v>29510</v>
      </c>
      <c r="T32" s="548">
        <v>29992</v>
      </c>
      <c r="U32" s="548">
        <v>33963</v>
      </c>
      <c r="V32" s="548">
        <v>37216</v>
      </c>
      <c r="W32" s="548">
        <v>35895</v>
      </c>
      <c r="X32" s="548">
        <v>36980</v>
      </c>
      <c r="Y32" s="548">
        <v>38859</v>
      </c>
      <c r="Z32" s="548">
        <v>39450</v>
      </c>
      <c r="AA32" s="548">
        <v>37880</v>
      </c>
      <c r="AB32" s="548">
        <v>42266</v>
      </c>
      <c r="AC32" s="1166">
        <v>43090</v>
      </c>
      <c r="AD32" s="1097"/>
      <c r="AE32" s="605"/>
    </row>
    <row r="33" spans="1:31">
      <c r="A33" s="525"/>
      <c r="B33" s="746" t="s">
        <v>51</v>
      </c>
      <c r="C33" s="764"/>
      <c r="D33" s="764"/>
      <c r="E33" s="764"/>
      <c r="F33" s="764"/>
      <c r="G33" s="765"/>
      <c r="H33" s="765"/>
      <c r="I33" s="765"/>
      <c r="J33" s="765"/>
      <c r="K33" s="765"/>
      <c r="L33" s="765"/>
      <c r="M33" s="765"/>
      <c r="N33" s="765"/>
      <c r="O33" s="765"/>
      <c r="P33" s="765"/>
      <c r="Q33" s="747">
        <v>3936</v>
      </c>
      <c r="R33" s="747">
        <v>4567</v>
      </c>
      <c r="S33" s="747">
        <v>4909</v>
      </c>
      <c r="T33" s="747">
        <v>4862</v>
      </c>
      <c r="U33" s="747">
        <v>6144</v>
      </c>
      <c r="V33" s="747">
        <v>8047</v>
      </c>
      <c r="W33" s="747">
        <v>8189</v>
      </c>
      <c r="X33" s="747">
        <v>7999</v>
      </c>
      <c r="Y33" s="747">
        <v>10359</v>
      </c>
      <c r="Z33" s="747">
        <v>11001</v>
      </c>
      <c r="AA33" s="747">
        <v>9354</v>
      </c>
      <c r="AB33" s="747">
        <v>8303</v>
      </c>
      <c r="AC33" s="1166">
        <v>6816</v>
      </c>
      <c r="AD33" s="1097"/>
      <c r="AE33" s="605"/>
    </row>
    <row r="34" spans="1:31">
      <c r="A34" s="526"/>
      <c r="B34" s="526" t="s">
        <v>52</v>
      </c>
      <c r="C34" s="766">
        <f t="shared" ref="C34" si="32">SUM(C28:C33)</f>
        <v>0</v>
      </c>
      <c r="D34" s="766">
        <f t="shared" ref="D34" si="33">SUM(D28:D33)</f>
        <v>0</v>
      </c>
      <c r="E34" s="766">
        <f t="shared" ref="E34" si="34">SUM(E28:E33)</f>
        <v>0</v>
      </c>
      <c r="F34" s="766">
        <f t="shared" ref="F34" si="35">SUM(F28:F33)</f>
        <v>0</v>
      </c>
      <c r="G34" s="766">
        <f t="shared" ref="G34" si="36">SUM(G28:G33)</f>
        <v>0</v>
      </c>
      <c r="H34" s="766">
        <f t="shared" ref="H34" si="37">SUM(H28:H33)</f>
        <v>0</v>
      </c>
      <c r="I34" s="766">
        <f t="shared" ref="I34" si="38">SUM(I28:I33)</f>
        <v>0</v>
      </c>
      <c r="J34" s="766">
        <f t="shared" ref="J34" si="39">SUM(J28:J33)</f>
        <v>0</v>
      </c>
      <c r="K34" s="766">
        <f t="shared" ref="K34" si="40">SUM(K28:K33)</f>
        <v>0</v>
      </c>
      <c r="L34" s="766">
        <f t="shared" ref="L34" si="41">SUM(L28:L33)</f>
        <v>0</v>
      </c>
      <c r="M34" s="766">
        <f t="shared" ref="M34" si="42">SUM(M28:M33)</f>
        <v>0</v>
      </c>
      <c r="N34" s="766">
        <f t="shared" ref="N34" si="43">SUM(N28:N33)</f>
        <v>0</v>
      </c>
      <c r="O34" s="766">
        <f t="shared" ref="O34:P34" si="44">SUM(O28:O33)</f>
        <v>0</v>
      </c>
      <c r="P34" s="766">
        <f t="shared" si="44"/>
        <v>0</v>
      </c>
      <c r="Q34" s="538">
        <v>391177</v>
      </c>
      <c r="R34" s="538">
        <v>526412</v>
      </c>
      <c r="S34" s="538">
        <v>652777</v>
      </c>
      <c r="T34" s="538">
        <v>825136</v>
      </c>
      <c r="U34" s="538">
        <v>928177</v>
      </c>
      <c r="V34" s="538">
        <v>1101864</v>
      </c>
      <c r="W34" s="538">
        <v>1338503</v>
      </c>
      <c r="X34" s="538">
        <v>1381594</v>
      </c>
      <c r="Y34" s="538">
        <v>1542002</v>
      </c>
      <c r="Z34" s="538">
        <v>1400661</v>
      </c>
      <c r="AA34" s="538">
        <v>1497159</v>
      </c>
      <c r="AB34" s="538">
        <v>1585663</v>
      </c>
      <c r="AC34" s="1167">
        <f>SUM(AC28:AC33)</f>
        <v>1619268</v>
      </c>
      <c r="AD34" s="1095"/>
      <c r="AE34" s="605"/>
    </row>
    <row r="35" spans="1:31">
      <c r="A35" s="534" t="s">
        <v>44</v>
      </c>
      <c r="B35" s="534" t="s">
        <v>55</v>
      </c>
      <c r="C35" s="534">
        <v>31230</v>
      </c>
      <c r="D35" s="534">
        <v>33249</v>
      </c>
      <c r="E35" s="534">
        <v>35809</v>
      </c>
      <c r="F35" s="534">
        <v>44660</v>
      </c>
      <c r="G35" s="603">
        <v>44750</v>
      </c>
      <c r="H35" s="603">
        <v>50607</v>
      </c>
      <c r="I35" s="603">
        <v>52621</v>
      </c>
      <c r="J35" s="603">
        <v>49762</v>
      </c>
      <c r="K35" s="603">
        <v>52459</v>
      </c>
      <c r="L35" s="603">
        <v>53993</v>
      </c>
      <c r="M35" s="603">
        <v>58967</v>
      </c>
      <c r="N35" s="603">
        <v>64746</v>
      </c>
      <c r="O35" s="603">
        <v>64837</v>
      </c>
      <c r="P35" s="603">
        <v>72839</v>
      </c>
      <c r="Q35" s="603">
        <v>78824</v>
      </c>
      <c r="R35" s="603">
        <v>80314</v>
      </c>
      <c r="S35" s="603">
        <v>85195</v>
      </c>
      <c r="T35" s="603">
        <v>87314</v>
      </c>
      <c r="U35" s="603">
        <v>91679</v>
      </c>
      <c r="V35" s="603">
        <v>93203</v>
      </c>
      <c r="W35" s="603">
        <v>97269</v>
      </c>
      <c r="X35" s="603">
        <v>96995</v>
      </c>
      <c r="Y35" s="603">
        <v>95699</v>
      </c>
      <c r="Z35" s="603">
        <v>96756</v>
      </c>
      <c r="AA35" s="603">
        <v>92746</v>
      </c>
      <c r="AB35" s="603">
        <v>88324</v>
      </c>
      <c r="AC35" s="1166">
        <v>89746</v>
      </c>
      <c r="AD35" s="1097"/>
      <c r="AE35" s="605"/>
    </row>
    <row r="36" spans="1:31">
      <c r="A36" s="525"/>
      <c r="B36" s="545" t="s">
        <v>56</v>
      </c>
      <c r="C36" s="545">
        <v>39037</v>
      </c>
      <c r="D36" s="545">
        <v>41753</v>
      </c>
      <c r="E36" s="545">
        <v>44133</v>
      </c>
      <c r="F36" s="545">
        <v>47821</v>
      </c>
      <c r="G36" s="548">
        <v>51029</v>
      </c>
      <c r="H36" s="548">
        <v>60555</v>
      </c>
      <c r="I36" s="548">
        <v>58739</v>
      </c>
      <c r="J36" s="548">
        <v>60350</v>
      </c>
      <c r="K36" s="548">
        <v>64812</v>
      </c>
      <c r="L36" s="548">
        <v>71994</v>
      </c>
      <c r="M36" s="548">
        <v>76839</v>
      </c>
      <c r="N36" s="548">
        <v>78794</v>
      </c>
      <c r="O36" s="548">
        <v>77423</v>
      </c>
      <c r="P36" s="548">
        <v>82216</v>
      </c>
      <c r="Q36" s="548">
        <v>84017</v>
      </c>
      <c r="R36" s="548">
        <v>85184</v>
      </c>
      <c r="S36" s="548">
        <v>88686</v>
      </c>
      <c r="T36" s="548">
        <v>84429</v>
      </c>
      <c r="U36" s="548">
        <v>86691</v>
      </c>
      <c r="V36" s="548">
        <v>86359</v>
      </c>
      <c r="W36" s="548">
        <v>86021</v>
      </c>
      <c r="X36" s="548">
        <v>86113</v>
      </c>
      <c r="Y36" s="548">
        <v>85322</v>
      </c>
      <c r="Z36" s="548">
        <v>86275</v>
      </c>
      <c r="AA36" s="548">
        <v>80029</v>
      </c>
      <c r="AB36" s="548">
        <v>75889</v>
      </c>
      <c r="AC36" s="1166">
        <v>75998</v>
      </c>
      <c r="AD36" s="1097"/>
      <c r="AE36" s="605"/>
    </row>
    <row r="37" spans="1:31">
      <c r="A37" s="525"/>
      <c r="B37" s="545" t="s">
        <v>57</v>
      </c>
      <c r="C37" s="760"/>
      <c r="D37" s="760"/>
      <c r="E37" s="760"/>
      <c r="F37" s="760"/>
      <c r="G37" s="761"/>
      <c r="H37" s="761"/>
      <c r="I37" s="761"/>
      <c r="J37" s="761"/>
      <c r="K37" s="761"/>
      <c r="L37" s="761"/>
      <c r="M37" s="761"/>
      <c r="N37" s="548">
        <v>22976</v>
      </c>
      <c r="O37" s="548">
        <v>22388</v>
      </c>
      <c r="P37" s="548">
        <v>24022</v>
      </c>
      <c r="Q37" s="548">
        <v>26040</v>
      </c>
      <c r="R37" s="548">
        <v>27289</v>
      </c>
      <c r="S37" s="548">
        <v>29481</v>
      </c>
      <c r="T37" s="548">
        <v>33039</v>
      </c>
      <c r="U37" s="548">
        <v>36744</v>
      </c>
      <c r="V37" s="548">
        <v>38205</v>
      </c>
      <c r="W37" s="548">
        <v>37341</v>
      </c>
      <c r="X37" s="548">
        <v>35565</v>
      </c>
      <c r="Y37" s="548">
        <v>33961</v>
      </c>
      <c r="Z37" s="548">
        <v>37218</v>
      </c>
      <c r="AA37" s="548">
        <v>38314</v>
      </c>
      <c r="AB37" s="548">
        <v>37092</v>
      </c>
      <c r="AC37" s="1166">
        <v>41817</v>
      </c>
      <c r="AD37" s="1097"/>
      <c r="AE37" s="605"/>
    </row>
    <row r="38" spans="1:31">
      <c r="A38" s="525"/>
      <c r="B38" s="545" t="s">
        <v>58</v>
      </c>
      <c r="C38" s="760"/>
      <c r="D38" s="760"/>
      <c r="E38" s="760"/>
      <c r="F38" s="760"/>
      <c r="G38" s="761"/>
      <c r="H38" s="761"/>
      <c r="I38" s="761"/>
      <c r="J38" s="761"/>
      <c r="K38" s="761"/>
      <c r="L38" s="761"/>
      <c r="M38" s="761"/>
      <c r="N38" s="761"/>
      <c r="O38" s="548">
        <v>5835</v>
      </c>
      <c r="P38" s="548">
        <v>6936</v>
      </c>
      <c r="Q38" s="548">
        <v>8162</v>
      </c>
      <c r="R38" s="548">
        <v>10545</v>
      </c>
      <c r="S38" s="548">
        <v>13273</v>
      </c>
      <c r="T38" s="548">
        <v>14702</v>
      </c>
      <c r="U38" s="548">
        <v>18040</v>
      </c>
      <c r="V38" s="548">
        <v>21386</v>
      </c>
      <c r="W38" s="548">
        <v>26026</v>
      </c>
      <c r="X38" s="548">
        <v>29674</v>
      </c>
      <c r="Y38" s="548">
        <v>32615</v>
      </c>
      <c r="Z38" s="548">
        <v>39906</v>
      </c>
      <c r="AA38" s="548">
        <v>42115</v>
      </c>
      <c r="AB38" s="548">
        <v>44865</v>
      </c>
      <c r="AC38" s="1166">
        <v>48648</v>
      </c>
      <c r="AD38" s="1097"/>
      <c r="AE38" s="605"/>
    </row>
    <row r="39" spans="1:31">
      <c r="A39" s="525"/>
      <c r="B39" s="545" t="s">
        <v>59</v>
      </c>
      <c r="C39" s="545">
        <v>106892</v>
      </c>
      <c r="D39" s="545">
        <v>120445</v>
      </c>
      <c r="E39" s="545">
        <v>135742</v>
      </c>
      <c r="F39" s="545">
        <v>149825</v>
      </c>
      <c r="G39" s="548">
        <v>163699</v>
      </c>
      <c r="H39" s="548">
        <v>174709</v>
      </c>
      <c r="I39" s="548">
        <v>184245</v>
      </c>
      <c r="J39" s="548">
        <v>188941</v>
      </c>
      <c r="K39" s="548">
        <v>189536</v>
      </c>
      <c r="L39" s="548">
        <v>207867</v>
      </c>
      <c r="M39" s="548">
        <v>221784</v>
      </c>
      <c r="N39" s="548">
        <v>241347</v>
      </c>
      <c r="O39" s="548">
        <v>219099</v>
      </c>
      <c r="P39" s="548">
        <v>225778</v>
      </c>
      <c r="Q39" s="548">
        <v>241977</v>
      </c>
      <c r="R39" s="548">
        <v>247750</v>
      </c>
      <c r="S39" s="548">
        <v>268782</v>
      </c>
      <c r="T39" s="548">
        <v>293588</v>
      </c>
      <c r="U39" s="548">
        <v>285096</v>
      </c>
      <c r="V39" s="548">
        <v>288335</v>
      </c>
      <c r="W39" s="548">
        <v>295327</v>
      </c>
      <c r="X39" s="548">
        <v>293904</v>
      </c>
      <c r="Y39" s="548">
        <v>285095</v>
      </c>
      <c r="Z39" s="548">
        <v>292998</v>
      </c>
      <c r="AA39" s="548">
        <v>277297</v>
      </c>
      <c r="AB39" s="548">
        <v>281996</v>
      </c>
      <c r="AC39" s="1166">
        <v>273585</v>
      </c>
      <c r="AD39" s="1097"/>
      <c r="AE39" s="605"/>
    </row>
    <row r="40" spans="1:31">
      <c r="A40" s="525"/>
      <c r="B40" s="746" t="s">
        <v>51</v>
      </c>
      <c r="C40" s="746">
        <v>17567</v>
      </c>
      <c r="D40" s="746">
        <v>19810</v>
      </c>
      <c r="E40" s="746">
        <v>21910</v>
      </c>
      <c r="F40" s="746">
        <v>27881</v>
      </c>
      <c r="G40" s="747">
        <v>36448</v>
      </c>
      <c r="H40" s="747">
        <v>40637</v>
      </c>
      <c r="I40" s="747">
        <v>38840</v>
      </c>
      <c r="J40" s="747">
        <v>43388</v>
      </c>
      <c r="K40" s="747">
        <v>50136</v>
      </c>
      <c r="L40" s="747">
        <v>56879</v>
      </c>
      <c r="M40" s="747">
        <v>68377</v>
      </c>
      <c r="N40" s="747">
        <v>48291</v>
      </c>
      <c r="O40" s="747">
        <v>66919</v>
      </c>
      <c r="P40" s="747">
        <v>60761</v>
      </c>
      <c r="Q40" s="747">
        <v>51206</v>
      </c>
      <c r="R40" s="747">
        <v>52500</v>
      </c>
      <c r="S40" s="747">
        <v>57398</v>
      </c>
      <c r="T40" s="747">
        <v>58540</v>
      </c>
      <c r="U40" s="747">
        <v>60552</v>
      </c>
      <c r="V40" s="747">
        <v>61922</v>
      </c>
      <c r="W40" s="747">
        <v>63587</v>
      </c>
      <c r="X40" s="747">
        <v>64705</v>
      </c>
      <c r="Y40" s="747">
        <v>64449</v>
      </c>
      <c r="Z40" s="747">
        <v>68300</v>
      </c>
      <c r="AA40" s="747">
        <v>66674</v>
      </c>
      <c r="AB40" s="747">
        <v>63307</v>
      </c>
      <c r="AC40" s="1166">
        <v>64546</v>
      </c>
      <c r="AD40" s="1097"/>
      <c r="AE40" s="605"/>
    </row>
    <row r="41" spans="1:31">
      <c r="A41" s="526"/>
      <c r="B41" s="526" t="s">
        <v>52</v>
      </c>
      <c r="C41" s="538">
        <f t="shared" ref="C41" si="45">SUM(C35:C40)</f>
        <v>194726</v>
      </c>
      <c r="D41" s="538">
        <f t="shared" ref="D41" si="46">SUM(D35:D40)</f>
        <v>215257</v>
      </c>
      <c r="E41" s="538">
        <f t="shared" ref="E41" si="47">SUM(E35:E40)</f>
        <v>237594</v>
      </c>
      <c r="F41" s="538">
        <f t="shared" ref="F41" si="48">SUM(F35:F40)</f>
        <v>270187</v>
      </c>
      <c r="G41" s="538">
        <f t="shared" ref="G41" si="49">SUM(G35:G40)</f>
        <v>295926</v>
      </c>
      <c r="H41" s="538">
        <f t="shared" ref="H41" si="50">SUM(H35:H40)</f>
        <v>326508</v>
      </c>
      <c r="I41" s="538">
        <f t="shared" ref="I41" si="51">SUM(I35:I40)</f>
        <v>334445</v>
      </c>
      <c r="J41" s="538">
        <f t="shared" ref="J41" si="52">SUM(J35:J40)</f>
        <v>342441</v>
      </c>
      <c r="K41" s="538">
        <f t="shared" ref="K41" si="53">SUM(K35:K40)</f>
        <v>356943</v>
      </c>
      <c r="L41" s="538">
        <f t="shared" ref="L41" si="54">SUM(L35:L40)</f>
        <v>390733</v>
      </c>
      <c r="M41" s="538">
        <f t="shared" ref="M41" si="55">SUM(M35:M40)</f>
        <v>425967</v>
      </c>
      <c r="N41" s="538">
        <f t="shared" ref="N41" si="56">SUM(N35:N40)</f>
        <v>456154</v>
      </c>
      <c r="O41" s="538">
        <f t="shared" ref="O41" si="57">SUM(O35:O40)</f>
        <v>456501</v>
      </c>
      <c r="P41" s="538">
        <f t="shared" ref="P41" si="58">SUM(P35:P40)</f>
        <v>472552</v>
      </c>
      <c r="Q41" s="538">
        <v>490226</v>
      </c>
      <c r="R41" s="538">
        <v>503582</v>
      </c>
      <c r="S41" s="538">
        <v>542815</v>
      </c>
      <c r="T41" s="538">
        <v>571612</v>
      </c>
      <c r="U41" s="538">
        <v>578802</v>
      </c>
      <c r="V41" s="538">
        <v>589410</v>
      </c>
      <c r="W41" s="538">
        <v>605571</v>
      </c>
      <c r="X41" s="538">
        <v>606956</v>
      </c>
      <c r="Y41" s="538">
        <v>597141</v>
      </c>
      <c r="Z41" s="538">
        <v>621453</v>
      </c>
      <c r="AA41" s="538">
        <v>597175</v>
      </c>
      <c r="AB41" s="538">
        <v>591473</v>
      </c>
      <c r="AC41" s="1166">
        <f>SUM(AC35:AC40)</f>
        <v>594340</v>
      </c>
      <c r="AD41" s="1095"/>
      <c r="AE41" s="605"/>
    </row>
    <row r="42" spans="1:31">
      <c r="AC42" s="1086"/>
    </row>
    <row r="43" spans="1:31">
      <c r="AC43" s="1086"/>
    </row>
    <row r="44" spans="1:31">
      <c r="A44" s="534" t="s">
        <v>34</v>
      </c>
      <c r="B44" s="534" t="s">
        <v>53</v>
      </c>
      <c r="C44" s="534"/>
      <c r="D44" s="534"/>
      <c r="E44" s="534"/>
      <c r="F44" s="534"/>
      <c r="G44" s="534">
        <v>2000</v>
      </c>
      <c r="H44" s="534">
        <f>G44+1</f>
        <v>2001</v>
      </c>
      <c r="I44" s="534">
        <f t="shared" ref="I44:AC44" si="59">H44+1</f>
        <v>2002</v>
      </c>
      <c r="J44" s="534">
        <f t="shared" si="59"/>
        <v>2003</v>
      </c>
      <c r="K44" s="534">
        <f t="shared" si="59"/>
        <v>2004</v>
      </c>
      <c r="L44" s="534">
        <f t="shared" si="59"/>
        <v>2005</v>
      </c>
      <c r="M44" s="534">
        <f t="shared" si="59"/>
        <v>2006</v>
      </c>
      <c r="N44" s="534">
        <f t="shared" si="59"/>
        <v>2007</v>
      </c>
      <c r="O44" s="534">
        <f t="shared" si="59"/>
        <v>2008</v>
      </c>
      <c r="P44" s="534">
        <f t="shared" si="59"/>
        <v>2009</v>
      </c>
      <c r="Q44" s="534">
        <f t="shared" si="59"/>
        <v>2010</v>
      </c>
      <c r="R44" s="534">
        <f t="shared" si="59"/>
        <v>2011</v>
      </c>
      <c r="S44" s="534">
        <f t="shared" si="59"/>
        <v>2012</v>
      </c>
      <c r="T44" s="534">
        <f t="shared" si="59"/>
        <v>2013</v>
      </c>
      <c r="U44" s="534">
        <f t="shared" si="59"/>
        <v>2014</v>
      </c>
      <c r="V44" s="534">
        <f t="shared" si="59"/>
        <v>2015</v>
      </c>
      <c r="W44" s="534">
        <f t="shared" si="59"/>
        <v>2016</v>
      </c>
      <c r="X44" s="534">
        <f t="shared" si="59"/>
        <v>2017</v>
      </c>
      <c r="Y44" s="534">
        <f t="shared" si="59"/>
        <v>2018</v>
      </c>
      <c r="Z44" s="534">
        <f t="shared" si="59"/>
        <v>2019</v>
      </c>
      <c r="AA44" s="534">
        <f t="shared" si="59"/>
        <v>2020</v>
      </c>
      <c r="AB44" s="534">
        <f t="shared" si="59"/>
        <v>2021</v>
      </c>
      <c r="AC44" s="1187">
        <f t="shared" si="59"/>
        <v>2022</v>
      </c>
    </row>
    <row r="45" spans="1:31">
      <c r="A45" s="534" t="s">
        <v>36</v>
      </c>
      <c r="B45" s="751" t="s">
        <v>111</v>
      </c>
      <c r="C45" s="547">
        <v>31490</v>
      </c>
      <c r="D45" s="547">
        <v>36510</v>
      </c>
      <c r="E45" s="547">
        <v>41490</v>
      </c>
      <c r="F45" s="547">
        <v>45028</v>
      </c>
      <c r="G45" s="547">
        <v>49785</v>
      </c>
      <c r="H45" s="547">
        <v>53737</v>
      </c>
      <c r="I45" s="547">
        <v>53475</v>
      </c>
      <c r="J45" s="547">
        <v>58315</v>
      </c>
      <c r="K45" s="547">
        <v>61207</v>
      </c>
      <c r="L45" s="547">
        <v>63704</v>
      </c>
      <c r="M45" s="547">
        <v>65776</v>
      </c>
      <c r="N45" s="547">
        <v>68991</v>
      </c>
      <c r="O45" s="547">
        <v>72337</v>
      </c>
      <c r="P45" s="547">
        <v>68597</v>
      </c>
      <c r="Q45" s="547">
        <v>74408</v>
      </c>
      <c r="R45" s="547">
        <v>71904</v>
      </c>
      <c r="S45" s="547">
        <v>72965</v>
      </c>
      <c r="T45" s="547">
        <v>73420</v>
      </c>
      <c r="U45" s="547">
        <v>75180</v>
      </c>
      <c r="V45" s="547">
        <v>76097</v>
      </c>
      <c r="W45" s="547">
        <v>76052</v>
      </c>
      <c r="X45" s="547">
        <v>78493</v>
      </c>
      <c r="Y45" s="547">
        <v>81594</v>
      </c>
      <c r="Z45" s="547">
        <v>82554</v>
      </c>
      <c r="AA45" s="547">
        <v>81531</v>
      </c>
      <c r="AB45" s="547">
        <v>83894</v>
      </c>
      <c r="AC45" s="1166">
        <v>83955</v>
      </c>
    </row>
    <row r="46" spans="1:31">
      <c r="A46" s="525"/>
      <c r="B46" s="757" t="s">
        <v>112</v>
      </c>
      <c r="C46" s="758">
        <v>32410</v>
      </c>
      <c r="D46" s="758">
        <v>36394</v>
      </c>
      <c r="E46" s="758">
        <v>40897</v>
      </c>
      <c r="F46" s="758">
        <v>44294</v>
      </c>
      <c r="G46" s="758">
        <v>50924</v>
      </c>
      <c r="H46" s="758">
        <v>56288</v>
      </c>
      <c r="I46" s="758">
        <v>52850</v>
      </c>
      <c r="J46" s="758">
        <v>58476</v>
      </c>
      <c r="K46" s="758">
        <v>62568</v>
      </c>
      <c r="L46" s="758">
        <v>65050</v>
      </c>
      <c r="M46" s="758">
        <v>69653</v>
      </c>
      <c r="N46" s="758">
        <v>72448</v>
      </c>
      <c r="O46" s="758">
        <v>74307</v>
      </c>
      <c r="P46" s="758">
        <v>65945</v>
      </c>
      <c r="Q46" s="758">
        <v>76553</v>
      </c>
      <c r="R46" s="758">
        <v>70906</v>
      </c>
      <c r="S46" s="758">
        <v>75529</v>
      </c>
      <c r="T46" s="758">
        <v>74449</v>
      </c>
      <c r="U46" s="758">
        <v>76801</v>
      </c>
      <c r="V46" s="758">
        <v>83925</v>
      </c>
      <c r="W46" s="758">
        <v>83301</v>
      </c>
      <c r="X46" s="758">
        <v>88101</v>
      </c>
      <c r="Y46" s="758">
        <v>92887</v>
      </c>
      <c r="Z46" s="758">
        <v>98978</v>
      </c>
      <c r="AA46" s="758">
        <v>98886</v>
      </c>
      <c r="AB46" s="758">
        <v>104915</v>
      </c>
      <c r="AC46" s="1166">
        <v>109505</v>
      </c>
      <c r="AD46" s="605"/>
    </row>
    <row r="47" spans="1:31">
      <c r="A47" s="525"/>
      <c r="B47" s="749" t="s">
        <v>52</v>
      </c>
      <c r="C47" s="536">
        <f t="shared" ref="C47" si="60">C45+C46</f>
        <v>63900</v>
      </c>
      <c r="D47" s="536">
        <f t="shared" ref="D47" si="61">D45+D46</f>
        <v>72904</v>
      </c>
      <c r="E47" s="536">
        <f t="shared" ref="E47" si="62">E45+E46</f>
        <v>82387</v>
      </c>
      <c r="F47" s="536">
        <f t="shared" ref="F47" si="63">F45+F46</f>
        <v>89322</v>
      </c>
      <c r="G47" s="536">
        <f t="shared" ref="G47:AA47" si="64">G45+G46</f>
        <v>100709</v>
      </c>
      <c r="H47" s="536">
        <f t="shared" si="64"/>
        <v>110025</v>
      </c>
      <c r="I47" s="536">
        <f t="shared" si="64"/>
        <v>106325</v>
      </c>
      <c r="J47" s="536">
        <f t="shared" si="64"/>
        <v>116791</v>
      </c>
      <c r="K47" s="536">
        <f t="shared" si="64"/>
        <v>123775</v>
      </c>
      <c r="L47" s="536">
        <f t="shared" si="64"/>
        <v>128754</v>
      </c>
      <c r="M47" s="536">
        <f t="shared" si="64"/>
        <v>135429</v>
      </c>
      <c r="N47" s="536">
        <f t="shared" si="64"/>
        <v>141439</v>
      </c>
      <c r="O47" s="536">
        <f t="shared" si="64"/>
        <v>146644</v>
      </c>
      <c r="P47" s="536">
        <f t="shared" si="64"/>
        <v>134542</v>
      </c>
      <c r="Q47" s="536">
        <f t="shared" si="64"/>
        <v>150961</v>
      </c>
      <c r="R47" s="536">
        <f t="shared" si="64"/>
        <v>142810</v>
      </c>
      <c r="S47" s="536">
        <f t="shared" si="64"/>
        <v>148494</v>
      </c>
      <c r="T47" s="536">
        <f t="shared" si="64"/>
        <v>147869</v>
      </c>
      <c r="U47" s="536">
        <f t="shared" si="64"/>
        <v>151981</v>
      </c>
      <c r="V47" s="536">
        <f t="shared" si="64"/>
        <v>160022</v>
      </c>
      <c r="W47" s="536">
        <f t="shared" si="64"/>
        <v>159353</v>
      </c>
      <c r="X47" s="536">
        <f t="shared" si="64"/>
        <v>166594</v>
      </c>
      <c r="Y47" s="536">
        <f t="shared" si="64"/>
        <v>174481</v>
      </c>
      <c r="Z47" s="536">
        <f t="shared" si="64"/>
        <v>181532</v>
      </c>
      <c r="AA47" s="536">
        <f t="shared" si="64"/>
        <v>180417</v>
      </c>
      <c r="AB47" s="536">
        <f>AB45+AB46</f>
        <v>188809</v>
      </c>
      <c r="AC47" s="1166">
        <v>193460</v>
      </c>
    </row>
    <row r="48" spans="1:31">
      <c r="A48" s="534" t="s">
        <v>38</v>
      </c>
      <c r="B48" s="751" t="s">
        <v>111</v>
      </c>
      <c r="C48" s="547">
        <v>340101</v>
      </c>
      <c r="D48" s="547">
        <v>350807</v>
      </c>
      <c r="E48" s="547">
        <v>359381</v>
      </c>
      <c r="F48" s="547">
        <v>360180</v>
      </c>
      <c r="G48" s="547">
        <v>387364</v>
      </c>
      <c r="H48" s="547">
        <v>386767</v>
      </c>
      <c r="I48" s="547">
        <v>369458</v>
      </c>
      <c r="J48" s="547">
        <v>362711</v>
      </c>
      <c r="K48" s="547">
        <v>368416</v>
      </c>
      <c r="L48" s="547">
        <v>367960</v>
      </c>
      <c r="M48" s="547">
        <v>347060</v>
      </c>
      <c r="N48" s="547">
        <v>333498</v>
      </c>
      <c r="O48" s="547">
        <v>330110</v>
      </c>
      <c r="P48" s="547">
        <v>295315</v>
      </c>
      <c r="Q48" s="547">
        <v>290081</v>
      </c>
      <c r="R48" s="547">
        <v>287580</v>
      </c>
      <c r="S48" s="547">
        <v>287013</v>
      </c>
      <c r="T48" s="547">
        <v>271731</v>
      </c>
      <c r="U48" s="547">
        <v>265959</v>
      </c>
      <c r="V48" s="547">
        <v>258839</v>
      </c>
      <c r="W48" s="547">
        <v>260244</v>
      </c>
      <c r="X48" s="547">
        <v>260290</v>
      </c>
      <c r="Y48" s="547">
        <v>253630</v>
      </c>
      <c r="Z48" s="547">
        <v>245372</v>
      </c>
      <c r="AA48" s="547">
        <v>227348</v>
      </c>
      <c r="AB48" s="547">
        <v>222452</v>
      </c>
      <c r="AC48" s="1166">
        <v>218813</v>
      </c>
    </row>
    <row r="49" spans="1:30">
      <c r="A49" s="525"/>
      <c r="B49" s="757" t="s">
        <v>112</v>
      </c>
      <c r="C49" s="758">
        <v>33896</v>
      </c>
      <c r="D49" s="758">
        <v>39157</v>
      </c>
      <c r="E49" s="758">
        <v>44213</v>
      </c>
      <c r="F49" s="758">
        <v>45475</v>
      </c>
      <c r="G49" s="758">
        <v>49501</v>
      </c>
      <c r="H49" s="758">
        <v>52408</v>
      </c>
      <c r="I49" s="758">
        <v>51516</v>
      </c>
      <c r="J49" s="758">
        <v>50381</v>
      </c>
      <c r="K49" s="758">
        <v>54665</v>
      </c>
      <c r="L49" s="758">
        <v>59118</v>
      </c>
      <c r="M49" s="758">
        <v>61614</v>
      </c>
      <c r="N49" s="758">
        <v>62793</v>
      </c>
      <c r="O49" s="758">
        <v>60892</v>
      </c>
      <c r="P49" s="758">
        <v>53281</v>
      </c>
      <c r="Q49" s="758">
        <v>54517</v>
      </c>
      <c r="R49" s="758">
        <v>55030</v>
      </c>
      <c r="S49" s="758">
        <v>55783</v>
      </c>
      <c r="T49" s="758">
        <v>56705</v>
      </c>
      <c r="U49" s="758">
        <v>60030</v>
      </c>
      <c r="V49" s="758">
        <v>59882</v>
      </c>
      <c r="W49" s="758">
        <v>58137</v>
      </c>
      <c r="X49" s="758">
        <v>58189</v>
      </c>
      <c r="Y49" s="758">
        <v>59937</v>
      </c>
      <c r="Z49" s="758">
        <v>62597</v>
      </c>
      <c r="AA49" s="758">
        <v>61124</v>
      </c>
      <c r="AB49" s="758">
        <v>66748</v>
      </c>
      <c r="AC49" s="1166">
        <v>70717</v>
      </c>
      <c r="AD49" s="605"/>
    </row>
    <row r="50" spans="1:30">
      <c r="A50" s="525"/>
      <c r="B50" s="749" t="s">
        <v>52</v>
      </c>
      <c r="C50" s="536">
        <f t="shared" ref="C50" si="65">C48+C49</f>
        <v>373997</v>
      </c>
      <c r="D50" s="536">
        <f t="shared" ref="D50" si="66">D48+D49</f>
        <v>389964</v>
      </c>
      <c r="E50" s="536">
        <f t="shared" ref="E50" si="67">E48+E49</f>
        <v>403594</v>
      </c>
      <c r="F50" s="536">
        <f t="shared" ref="F50" si="68">F48+F49</f>
        <v>405655</v>
      </c>
      <c r="G50" s="536">
        <f t="shared" ref="G50" si="69">G48+G49</f>
        <v>436865</v>
      </c>
      <c r="H50" s="536">
        <f t="shared" ref="H50" si="70">H48+H49</f>
        <v>439175</v>
      </c>
      <c r="I50" s="536">
        <f t="shared" ref="I50" si="71">I48+I49</f>
        <v>420974</v>
      </c>
      <c r="J50" s="536">
        <f t="shared" ref="J50" si="72">J48+J49</f>
        <v>413092</v>
      </c>
      <c r="K50" s="536">
        <f t="shared" ref="K50" si="73">K48+K49</f>
        <v>423081</v>
      </c>
      <c r="L50" s="536">
        <f t="shared" ref="L50" si="74">L48+L49</f>
        <v>427078</v>
      </c>
      <c r="M50" s="536">
        <f t="shared" ref="M50" si="75">M48+M49</f>
        <v>408674</v>
      </c>
      <c r="N50" s="536">
        <f t="shared" ref="N50" si="76">N48+N49</f>
        <v>396291</v>
      </c>
      <c r="O50" s="536">
        <f t="shared" ref="O50" si="77">O48+O49</f>
        <v>391002</v>
      </c>
      <c r="P50" s="536">
        <f t="shared" ref="P50" si="78">P48+P49</f>
        <v>348596</v>
      </c>
      <c r="Q50" s="536">
        <f t="shared" ref="Q50" si="79">Q48+Q49</f>
        <v>344598</v>
      </c>
      <c r="R50" s="536">
        <f t="shared" ref="R50" si="80">R48+R49</f>
        <v>342610</v>
      </c>
      <c r="S50" s="536">
        <f t="shared" ref="S50" si="81">S48+S49</f>
        <v>342796</v>
      </c>
      <c r="T50" s="536">
        <f t="shared" ref="T50" si="82">T48+T49</f>
        <v>328436</v>
      </c>
      <c r="U50" s="536">
        <f t="shared" ref="U50" si="83">U48+U49</f>
        <v>325989</v>
      </c>
      <c r="V50" s="536">
        <f t="shared" ref="V50" si="84">V48+V49</f>
        <v>318721</v>
      </c>
      <c r="W50" s="536">
        <f t="shared" ref="W50" si="85">W48+W49</f>
        <v>318381</v>
      </c>
      <c r="X50" s="536">
        <f t="shared" ref="X50" si="86">X48+X49</f>
        <v>318479</v>
      </c>
      <c r="Y50" s="536">
        <f t="shared" ref="Y50" si="87">Y48+Y49</f>
        <v>313567</v>
      </c>
      <c r="Z50" s="536">
        <f t="shared" ref="Z50" si="88">Z48+Z49</f>
        <v>307969</v>
      </c>
      <c r="AA50" s="536">
        <f t="shared" ref="AA50" si="89">AA48+AA49</f>
        <v>288472</v>
      </c>
      <c r="AB50" s="536">
        <f>AB48+AB49</f>
        <v>289200</v>
      </c>
      <c r="AC50" s="1167">
        <v>289530</v>
      </c>
      <c r="AD50" s="605"/>
    </row>
    <row r="51" spans="1:30">
      <c r="A51" s="534" t="s">
        <v>42</v>
      </c>
      <c r="B51" s="751" t="s">
        <v>111</v>
      </c>
      <c r="C51" s="767">
        <v>340101</v>
      </c>
      <c r="D51" s="767">
        <v>350807</v>
      </c>
      <c r="E51" s="767">
        <v>359381</v>
      </c>
      <c r="F51" s="767">
        <v>360180</v>
      </c>
      <c r="G51" s="767">
        <v>387364</v>
      </c>
      <c r="H51" s="767">
        <v>386767</v>
      </c>
      <c r="I51" s="767">
        <v>369458</v>
      </c>
      <c r="J51" s="767">
        <v>362711</v>
      </c>
      <c r="K51" s="767">
        <v>368416</v>
      </c>
      <c r="L51" s="767">
        <v>367960</v>
      </c>
      <c r="M51" s="767">
        <v>347060</v>
      </c>
      <c r="N51" s="547">
        <v>128701</v>
      </c>
      <c r="O51" s="547">
        <v>127114</v>
      </c>
      <c r="P51" s="547">
        <v>127316</v>
      </c>
      <c r="Q51" s="547">
        <v>131805</v>
      </c>
      <c r="R51" s="547">
        <v>138034</v>
      </c>
      <c r="S51" s="547">
        <v>148136</v>
      </c>
      <c r="T51" s="547">
        <v>159978</v>
      </c>
      <c r="U51" s="547">
        <v>164073</v>
      </c>
      <c r="V51" s="547">
        <v>167273</v>
      </c>
      <c r="W51" s="547">
        <v>163423</v>
      </c>
      <c r="X51" s="547">
        <v>159031</v>
      </c>
      <c r="Y51" s="547">
        <v>162576</v>
      </c>
      <c r="Z51" s="547">
        <v>171603</v>
      </c>
      <c r="AA51" s="547">
        <v>180477</v>
      </c>
      <c r="AB51" s="547">
        <v>186245</v>
      </c>
      <c r="AC51" s="1166">
        <v>183748</v>
      </c>
    </row>
    <row r="52" spans="1:30">
      <c r="A52" s="525"/>
      <c r="B52" s="757" t="s">
        <v>112</v>
      </c>
      <c r="C52" s="768">
        <v>33896</v>
      </c>
      <c r="D52" s="768">
        <v>39157</v>
      </c>
      <c r="E52" s="768">
        <v>44213</v>
      </c>
      <c r="F52" s="768">
        <v>45475</v>
      </c>
      <c r="G52" s="768">
        <v>49501</v>
      </c>
      <c r="H52" s="768">
        <v>52408</v>
      </c>
      <c r="I52" s="768">
        <v>51516</v>
      </c>
      <c r="J52" s="768">
        <v>50381</v>
      </c>
      <c r="K52" s="768">
        <v>54665</v>
      </c>
      <c r="L52" s="768">
        <v>59118</v>
      </c>
      <c r="M52" s="768">
        <v>61614</v>
      </c>
      <c r="N52" s="758">
        <v>43768</v>
      </c>
      <c r="O52" s="758">
        <v>43518</v>
      </c>
      <c r="P52" s="758">
        <v>36207</v>
      </c>
      <c r="Q52" s="758">
        <v>38296</v>
      </c>
      <c r="R52" s="758">
        <v>40890</v>
      </c>
      <c r="S52" s="758">
        <v>40779</v>
      </c>
      <c r="T52" s="758">
        <v>44611</v>
      </c>
      <c r="U52" s="758">
        <v>46219</v>
      </c>
      <c r="V52" s="758">
        <v>46421</v>
      </c>
      <c r="W52" s="758">
        <v>45407</v>
      </c>
      <c r="X52" s="758">
        <v>45744</v>
      </c>
      <c r="Y52" s="758">
        <v>47416</v>
      </c>
      <c r="Z52" s="758">
        <v>47372</v>
      </c>
      <c r="AA52" s="758">
        <v>46282</v>
      </c>
      <c r="AB52" s="758">
        <v>51753</v>
      </c>
      <c r="AC52" s="1166">
        <v>53885</v>
      </c>
      <c r="AD52" s="605"/>
    </row>
    <row r="53" spans="1:30">
      <c r="A53" s="525"/>
      <c r="B53" s="749" t="s">
        <v>52</v>
      </c>
      <c r="C53" s="769">
        <f t="shared" ref="C53" si="90">C51+C52</f>
        <v>373997</v>
      </c>
      <c r="D53" s="769">
        <f t="shared" ref="D53" si="91">D51+D52</f>
        <v>389964</v>
      </c>
      <c r="E53" s="769">
        <f t="shared" ref="E53" si="92">E51+E52</f>
        <v>403594</v>
      </c>
      <c r="F53" s="769">
        <f t="shared" ref="F53" si="93">F51+F52</f>
        <v>405655</v>
      </c>
      <c r="G53" s="769">
        <f t="shared" ref="G53" si="94">G51+G52</f>
        <v>436865</v>
      </c>
      <c r="H53" s="769">
        <f t="shared" ref="H53" si="95">H51+H52</f>
        <v>439175</v>
      </c>
      <c r="I53" s="769">
        <f t="shared" ref="I53" si="96">I51+I52</f>
        <v>420974</v>
      </c>
      <c r="J53" s="769">
        <f t="shared" ref="J53" si="97">J51+J52</f>
        <v>413092</v>
      </c>
      <c r="K53" s="769">
        <f t="shared" ref="K53" si="98">K51+K52</f>
        <v>423081</v>
      </c>
      <c r="L53" s="769">
        <f t="shared" ref="L53" si="99">L51+L52</f>
        <v>427078</v>
      </c>
      <c r="M53" s="769">
        <f t="shared" ref="M53" si="100">M51+M52</f>
        <v>408674</v>
      </c>
      <c r="N53" s="536">
        <f t="shared" ref="N53" si="101">N51+N52</f>
        <v>172469</v>
      </c>
      <c r="O53" s="536">
        <f t="shared" ref="O53" si="102">O51+O52</f>
        <v>170632</v>
      </c>
      <c r="P53" s="536">
        <f t="shared" ref="P53" si="103">P51+P52</f>
        <v>163523</v>
      </c>
      <c r="Q53" s="536">
        <f t="shared" ref="Q53" si="104">Q51+Q52</f>
        <v>170101</v>
      </c>
      <c r="R53" s="536">
        <f t="shared" ref="R53" si="105">R51+R52</f>
        <v>178924</v>
      </c>
      <c r="S53" s="536">
        <f t="shared" ref="S53" si="106">S51+S52</f>
        <v>188915</v>
      </c>
      <c r="T53" s="536">
        <f t="shared" ref="T53" si="107">T51+T52</f>
        <v>204589</v>
      </c>
      <c r="U53" s="536">
        <f t="shared" ref="U53" si="108">U51+U52</f>
        <v>210292</v>
      </c>
      <c r="V53" s="536">
        <f t="shared" ref="V53" si="109">V51+V52</f>
        <v>213694</v>
      </c>
      <c r="W53" s="536">
        <f t="shared" ref="W53" si="110">W51+W52</f>
        <v>208830</v>
      </c>
      <c r="X53" s="536">
        <f t="shared" ref="X53" si="111">X51+X52</f>
        <v>204775</v>
      </c>
      <c r="Y53" s="536">
        <f t="shared" ref="Y53" si="112">Y51+Y52</f>
        <v>209992</v>
      </c>
      <c r="Z53" s="536">
        <f t="shared" ref="Z53" si="113">Z51+Z52</f>
        <v>218975</v>
      </c>
      <c r="AA53" s="536">
        <f t="shared" ref="AA53" si="114">AA51+AA52</f>
        <v>226759</v>
      </c>
      <c r="AB53" s="536">
        <f>AB51+AB52</f>
        <v>237998</v>
      </c>
      <c r="AC53" s="1167">
        <v>237633</v>
      </c>
    </row>
    <row r="54" spans="1:30">
      <c r="A54" s="534" t="s">
        <v>43</v>
      </c>
      <c r="B54" s="751" t="s">
        <v>111</v>
      </c>
      <c r="C54" s="767">
        <v>0</v>
      </c>
      <c r="D54" s="767">
        <v>0</v>
      </c>
      <c r="E54" s="767">
        <v>0</v>
      </c>
      <c r="F54" s="767">
        <v>0</v>
      </c>
      <c r="G54" s="767">
        <v>0</v>
      </c>
      <c r="H54" s="767">
        <v>0</v>
      </c>
      <c r="I54" s="767">
        <v>0</v>
      </c>
      <c r="J54" s="767">
        <v>0</v>
      </c>
      <c r="K54" s="767">
        <v>0</v>
      </c>
      <c r="L54" s="767">
        <v>0</v>
      </c>
      <c r="M54" s="767">
        <v>0</v>
      </c>
      <c r="N54" s="767">
        <v>0</v>
      </c>
      <c r="O54" s="767">
        <v>0</v>
      </c>
      <c r="P54" s="767">
        <v>0</v>
      </c>
      <c r="Q54" s="547">
        <v>293066</v>
      </c>
      <c r="R54" s="547">
        <v>415829</v>
      </c>
      <c r="S54" s="547">
        <v>535315</v>
      </c>
      <c r="T54" s="547">
        <v>704936</v>
      </c>
      <c r="U54" s="547">
        <v>801135</v>
      </c>
      <c r="V54" s="547">
        <v>968251</v>
      </c>
      <c r="W54" s="547">
        <v>1204981</v>
      </c>
      <c r="X54" s="547">
        <v>1245709</v>
      </c>
      <c r="Y54" s="547">
        <v>1393815</v>
      </c>
      <c r="Z54" s="547">
        <v>1243568</v>
      </c>
      <c r="AA54" s="547">
        <v>1344817</v>
      </c>
      <c r="AB54" s="547">
        <v>1427845</v>
      </c>
      <c r="AC54" s="1166">
        <v>1464605</v>
      </c>
    </row>
    <row r="55" spans="1:30">
      <c r="A55" s="525"/>
      <c r="B55" s="757" t="s">
        <v>112</v>
      </c>
      <c r="C55" s="768">
        <v>0</v>
      </c>
      <c r="D55" s="768">
        <v>0</v>
      </c>
      <c r="E55" s="768">
        <v>0</v>
      </c>
      <c r="F55" s="768">
        <v>0</v>
      </c>
      <c r="G55" s="768">
        <v>0</v>
      </c>
      <c r="H55" s="768">
        <v>0</v>
      </c>
      <c r="I55" s="768">
        <v>0</v>
      </c>
      <c r="J55" s="768">
        <v>0</v>
      </c>
      <c r="K55" s="768">
        <v>0</v>
      </c>
      <c r="L55" s="768">
        <v>0</v>
      </c>
      <c r="M55" s="768">
        <v>0</v>
      </c>
      <c r="N55" s="768">
        <v>0</v>
      </c>
      <c r="O55" s="768">
        <v>0</v>
      </c>
      <c r="P55" s="768">
        <v>0</v>
      </c>
      <c r="Q55" s="758">
        <v>98111</v>
      </c>
      <c r="R55" s="758">
        <v>110583</v>
      </c>
      <c r="S55" s="758">
        <v>117462</v>
      </c>
      <c r="T55" s="758">
        <v>120200</v>
      </c>
      <c r="U55" s="758">
        <v>127042</v>
      </c>
      <c r="V55" s="758">
        <v>133613</v>
      </c>
      <c r="W55" s="758">
        <v>133522</v>
      </c>
      <c r="X55" s="758">
        <v>135885</v>
      </c>
      <c r="Y55" s="758">
        <v>148187</v>
      </c>
      <c r="Z55" s="758">
        <v>157093</v>
      </c>
      <c r="AA55" s="758">
        <v>152342</v>
      </c>
      <c r="AB55" s="758">
        <v>157818</v>
      </c>
      <c r="AC55" s="1166">
        <v>154663</v>
      </c>
      <c r="AD55" s="605"/>
    </row>
    <row r="56" spans="1:30">
      <c r="A56" s="525"/>
      <c r="B56" s="749" t="s">
        <v>52</v>
      </c>
      <c r="C56" s="769">
        <f t="shared" ref="C56" si="115">C54+C55</f>
        <v>0</v>
      </c>
      <c r="D56" s="769">
        <f t="shared" ref="D56" si="116">D54+D55</f>
        <v>0</v>
      </c>
      <c r="E56" s="769">
        <f t="shared" ref="E56" si="117">E54+E55</f>
        <v>0</v>
      </c>
      <c r="F56" s="769">
        <f t="shared" ref="F56" si="118">F54+F55</f>
        <v>0</v>
      </c>
      <c r="G56" s="769">
        <f t="shared" ref="G56" si="119">G54+G55</f>
        <v>0</v>
      </c>
      <c r="H56" s="769">
        <f t="shared" ref="H56" si="120">H54+H55</f>
        <v>0</v>
      </c>
      <c r="I56" s="769">
        <f t="shared" ref="I56" si="121">I54+I55</f>
        <v>0</v>
      </c>
      <c r="J56" s="769">
        <f t="shared" ref="J56" si="122">J54+J55</f>
        <v>0</v>
      </c>
      <c r="K56" s="769">
        <f t="shared" ref="K56" si="123">K54+K55</f>
        <v>0</v>
      </c>
      <c r="L56" s="769">
        <f t="shared" ref="L56" si="124">L54+L55</f>
        <v>0</v>
      </c>
      <c r="M56" s="769">
        <f t="shared" ref="M56" si="125">M54+M55</f>
        <v>0</v>
      </c>
      <c r="N56" s="769">
        <f t="shared" ref="N56" si="126">N54+N55</f>
        <v>0</v>
      </c>
      <c r="O56" s="769">
        <f t="shared" ref="O56" si="127">O54+O55</f>
        <v>0</v>
      </c>
      <c r="P56" s="769">
        <f t="shared" ref="P56" si="128">P54+P55</f>
        <v>0</v>
      </c>
      <c r="Q56" s="536">
        <f t="shared" ref="Q56" si="129">Q54+Q55</f>
        <v>391177</v>
      </c>
      <c r="R56" s="536">
        <f t="shared" ref="R56" si="130">R54+R55</f>
        <v>526412</v>
      </c>
      <c r="S56" s="536">
        <f t="shared" ref="S56" si="131">S54+S55</f>
        <v>652777</v>
      </c>
      <c r="T56" s="536">
        <f t="shared" ref="T56" si="132">T54+T55</f>
        <v>825136</v>
      </c>
      <c r="U56" s="536">
        <f t="shared" ref="U56" si="133">U54+U55</f>
        <v>928177</v>
      </c>
      <c r="V56" s="536">
        <f t="shared" ref="V56" si="134">V54+V55</f>
        <v>1101864</v>
      </c>
      <c r="W56" s="536">
        <f t="shared" ref="W56" si="135">W54+W55</f>
        <v>1338503</v>
      </c>
      <c r="X56" s="536">
        <f t="shared" ref="X56" si="136">X54+X55</f>
        <v>1381594</v>
      </c>
      <c r="Y56" s="536">
        <f t="shared" ref="Y56" si="137">Y54+Y55</f>
        <v>1542002</v>
      </c>
      <c r="Z56" s="536">
        <f t="shared" ref="Z56" si="138">Z54+Z55</f>
        <v>1400661</v>
      </c>
      <c r="AA56" s="536">
        <f t="shared" ref="AA56" si="139">AA54+AA55</f>
        <v>1497159</v>
      </c>
      <c r="AB56" s="536">
        <f>AB54+AB55</f>
        <v>1585663</v>
      </c>
      <c r="AC56" s="1167">
        <v>1619268</v>
      </c>
    </row>
    <row r="57" spans="1:30">
      <c r="A57" s="534" t="s">
        <v>44</v>
      </c>
      <c r="B57" s="759" t="s">
        <v>111</v>
      </c>
      <c r="C57" s="603">
        <f t="shared" ref="C57:F57" si="140">C39</f>
        <v>106892</v>
      </c>
      <c r="D57" s="603">
        <f t="shared" si="140"/>
        <v>120445</v>
      </c>
      <c r="E57" s="603">
        <f t="shared" si="140"/>
        <v>135742</v>
      </c>
      <c r="F57" s="603">
        <f t="shared" si="140"/>
        <v>149825</v>
      </c>
      <c r="G57" s="603">
        <f>G39</f>
        <v>163699</v>
      </c>
      <c r="H57" s="603">
        <f t="shared" ref="H57:AB57" si="141">H39</f>
        <v>174709</v>
      </c>
      <c r="I57" s="603">
        <v>184245</v>
      </c>
      <c r="J57" s="603">
        <v>188941</v>
      </c>
      <c r="K57" s="603">
        <f t="shared" si="141"/>
        <v>189536</v>
      </c>
      <c r="L57" s="603">
        <f t="shared" si="141"/>
        <v>207867</v>
      </c>
      <c r="M57" s="603">
        <f t="shared" si="141"/>
        <v>221784</v>
      </c>
      <c r="N57" s="603">
        <f t="shared" si="141"/>
        <v>241347</v>
      </c>
      <c r="O57" s="603">
        <f t="shared" si="141"/>
        <v>219099</v>
      </c>
      <c r="P57" s="603">
        <f t="shared" si="141"/>
        <v>225778</v>
      </c>
      <c r="Q57" s="603">
        <f t="shared" si="141"/>
        <v>241977</v>
      </c>
      <c r="R57" s="603">
        <f t="shared" si="141"/>
        <v>247750</v>
      </c>
      <c r="S57" s="603">
        <f t="shared" si="141"/>
        <v>268782</v>
      </c>
      <c r="T57" s="603">
        <f t="shared" si="141"/>
        <v>293588</v>
      </c>
      <c r="U57" s="603">
        <f t="shared" si="141"/>
        <v>285096</v>
      </c>
      <c r="V57" s="603">
        <f t="shared" si="141"/>
        <v>288335</v>
      </c>
      <c r="W57" s="603">
        <f t="shared" si="141"/>
        <v>295327</v>
      </c>
      <c r="X57" s="603">
        <f t="shared" si="141"/>
        <v>293904</v>
      </c>
      <c r="Y57" s="603">
        <f t="shared" si="141"/>
        <v>285095</v>
      </c>
      <c r="Z57" s="603">
        <f t="shared" si="141"/>
        <v>292998</v>
      </c>
      <c r="AA57" s="603">
        <f t="shared" si="141"/>
        <v>277297</v>
      </c>
      <c r="AB57" s="603">
        <f t="shared" si="141"/>
        <v>281996</v>
      </c>
      <c r="AC57" s="1166">
        <v>273585</v>
      </c>
    </row>
    <row r="58" spans="1:30">
      <c r="A58" s="525"/>
      <c r="B58" s="757" t="s">
        <v>112</v>
      </c>
      <c r="C58" s="758">
        <f t="shared" ref="C58:F58" si="142">C41-C57</f>
        <v>87834</v>
      </c>
      <c r="D58" s="758">
        <f t="shared" si="142"/>
        <v>94812</v>
      </c>
      <c r="E58" s="758">
        <f t="shared" si="142"/>
        <v>101852</v>
      </c>
      <c r="F58" s="758">
        <f t="shared" si="142"/>
        <v>120362</v>
      </c>
      <c r="G58" s="758">
        <f>G41-G57</f>
        <v>132227</v>
      </c>
      <c r="H58" s="758">
        <f t="shared" ref="H58:AB58" si="143">H41-H57</f>
        <v>151799</v>
      </c>
      <c r="I58" s="758">
        <v>150200</v>
      </c>
      <c r="J58" s="758">
        <v>153500</v>
      </c>
      <c r="K58" s="758">
        <f t="shared" si="143"/>
        <v>167407</v>
      </c>
      <c r="L58" s="758">
        <f t="shared" si="143"/>
        <v>182866</v>
      </c>
      <c r="M58" s="758">
        <f t="shared" si="143"/>
        <v>204183</v>
      </c>
      <c r="N58" s="758">
        <f t="shared" si="143"/>
        <v>214807</v>
      </c>
      <c r="O58" s="758">
        <f t="shared" si="143"/>
        <v>237402</v>
      </c>
      <c r="P58" s="758">
        <f t="shared" si="143"/>
        <v>246774</v>
      </c>
      <c r="Q58" s="758">
        <f t="shared" si="143"/>
        <v>248249</v>
      </c>
      <c r="R58" s="758">
        <f t="shared" si="143"/>
        <v>255832</v>
      </c>
      <c r="S58" s="758">
        <f t="shared" si="143"/>
        <v>274033</v>
      </c>
      <c r="T58" s="758">
        <f t="shared" si="143"/>
        <v>278024</v>
      </c>
      <c r="U58" s="758">
        <f t="shared" si="143"/>
        <v>293706</v>
      </c>
      <c r="V58" s="758">
        <f t="shared" si="143"/>
        <v>301075</v>
      </c>
      <c r="W58" s="758">
        <f t="shared" si="143"/>
        <v>310244</v>
      </c>
      <c r="X58" s="758">
        <f t="shared" si="143"/>
        <v>313052</v>
      </c>
      <c r="Y58" s="758">
        <f t="shared" si="143"/>
        <v>312046</v>
      </c>
      <c r="Z58" s="758">
        <f t="shared" si="143"/>
        <v>328455</v>
      </c>
      <c r="AA58" s="758">
        <f t="shared" si="143"/>
        <v>319878</v>
      </c>
      <c r="AB58" s="758">
        <f t="shared" si="143"/>
        <v>309477</v>
      </c>
      <c r="AC58" s="1166">
        <v>320755</v>
      </c>
      <c r="AD58" s="605"/>
    </row>
    <row r="59" spans="1:30">
      <c r="A59" s="501"/>
      <c r="B59" s="750" t="s">
        <v>52</v>
      </c>
      <c r="C59" s="602">
        <f t="shared" ref="C59" si="144">C57+C58</f>
        <v>194726</v>
      </c>
      <c r="D59" s="602">
        <f t="shared" ref="D59" si="145">D57+D58</f>
        <v>215257</v>
      </c>
      <c r="E59" s="602">
        <f t="shared" ref="E59" si="146">E57+E58</f>
        <v>237594</v>
      </c>
      <c r="F59" s="602">
        <f t="shared" ref="F59" si="147">F57+F58</f>
        <v>270187</v>
      </c>
      <c r="G59" s="602">
        <f t="shared" ref="G59" si="148">G57+G58</f>
        <v>295926</v>
      </c>
      <c r="H59" s="602">
        <f t="shared" ref="H59" si="149">H57+H58</f>
        <v>326508</v>
      </c>
      <c r="I59" s="602">
        <f t="shared" ref="I59" si="150">I57+I58</f>
        <v>334445</v>
      </c>
      <c r="J59" s="602">
        <f t="shared" ref="J59" si="151">J57+J58</f>
        <v>342441</v>
      </c>
      <c r="K59" s="602">
        <f t="shared" ref="K59" si="152">K57+K58</f>
        <v>356943</v>
      </c>
      <c r="L59" s="602">
        <f t="shared" ref="L59" si="153">L57+L58</f>
        <v>390733</v>
      </c>
      <c r="M59" s="602">
        <f t="shared" ref="M59" si="154">M57+M58</f>
        <v>425967</v>
      </c>
      <c r="N59" s="602">
        <f t="shared" ref="N59" si="155">N57+N58</f>
        <v>456154</v>
      </c>
      <c r="O59" s="602">
        <f t="shared" ref="O59" si="156">O57+O58</f>
        <v>456501</v>
      </c>
      <c r="P59" s="602">
        <f t="shared" ref="P59" si="157">P57+P58</f>
        <v>472552</v>
      </c>
      <c r="Q59" s="602">
        <f t="shared" ref="Q59" si="158">Q57+Q58</f>
        <v>490226</v>
      </c>
      <c r="R59" s="602">
        <f t="shared" ref="R59" si="159">R57+R58</f>
        <v>503582</v>
      </c>
      <c r="S59" s="602">
        <f t="shared" ref="S59" si="160">S57+S58</f>
        <v>542815</v>
      </c>
      <c r="T59" s="602">
        <f t="shared" ref="T59" si="161">T57+T58</f>
        <v>571612</v>
      </c>
      <c r="U59" s="602">
        <f t="shared" ref="U59" si="162">U57+U58</f>
        <v>578802</v>
      </c>
      <c r="V59" s="602">
        <f t="shared" ref="V59" si="163">V57+V58</f>
        <v>589410</v>
      </c>
      <c r="W59" s="602">
        <f t="shared" ref="W59" si="164">W57+W58</f>
        <v>605571</v>
      </c>
      <c r="X59" s="602">
        <f t="shared" ref="X59" si="165">X57+X58</f>
        <v>606956</v>
      </c>
      <c r="Y59" s="602">
        <f t="shared" ref="Y59" si="166">Y57+Y58</f>
        <v>597141</v>
      </c>
      <c r="Z59" s="602">
        <f t="shared" ref="Z59" si="167">Z57+Z58</f>
        <v>621453</v>
      </c>
      <c r="AA59" s="602">
        <f t="shared" ref="AA59" si="168">AA57+AA58</f>
        <v>597175</v>
      </c>
      <c r="AB59" s="602">
        <f>AB57+AB58</f>
        <v>591473</v>
      </c>
      <c r="AC59" s="1167">
        <v>594340</v>
      </c>
    </row>
    <row r="60" spans="1:30">
      <c r="B60" s="748"/>
      <c r="C60" s="748"/>
      <c r="D60" s="748"/>
      <c r="E60" s="748"/>
      <c r="F60" s="748"/>
      <c r="AC60" s="1086"/>
    </row>
    <row r="61" spans="1:30">
      <c r="B61" s="748"/>
      <c r="C61" s="748"/>
      <c r="D61" s="748"/>
      <c r="E61" s="748"/>
      <c r="F61" s="748"/>
      <c r="AC61" s="1086"/>
    </row>
    <row r="62" spans="1:30">
      <c r="A62" s="534" t="s">
        <v>34</v>
      </c>
      <c r="B62" s="534" t="s">
        <v>53</v>
      </c>
      <c r="C62" s="534"/>
      <c r="D62" s="534"/>
      <c r="E62" s="534"/>
      <c r="F62" s="534"/>
      <c r="G62" s="534">
        <v>2000</v>
      </c>
      <c r="H62" s="534">
        <f>G62+1</f>
        <v>2001</v>
      </c>
      <c r="I62" s="534">
        <f t="shared" ref="I62:AC62" si="169">H62+1</f>
        <v>2002</v>
      </c>
      <c r="J62" s="534">
        <f t="shared" si="169"/>
        <v>2003</v>
      </c>
      <c r="K62" s="534">
        <f t="shared" si="169"/>
        <v>2004</v>
      </c>
      <c r="L62" s="534">
        <f t="shared" si="169"/>
        <v>2005</v>
      </c>
      <c r="M62" s="534">
        <f t="shared" si="169"/>
        <v>2006</v>
      </c>
      <c r="N62" s="534">
        <f t="shared" si="169"/>
        <v>2007</v>
      </c>
      <c r="O62" s="534">
        <f t="shared" si="169"/>
        <v>2008</v>
      </c>
      <c r="P62" s="534">
        <f t="shared" si="169"/>
        <v>2009</v>
      </c>
      <c r="Q62" s="534">
        <f t="shared" si="169"/>
        <v>2010</v>
      </c>
      <c r="R62" s="534">
        <f t="shared" si="169"/>
        <v>2011</v>
      </c>
      <c r="S62" s="534">
        <f t="shared" si="169"/>
        <v>2012</v>
      </c>
      <c r="T62" s="534">
        <f t="shared" si="169"/>
        <v>2013</v>
      </c>
      <c r="U62" s="534">
        <f t="shared" si="169"/>
        <v>2014</v>
      </c>
      <c r="V62" s="534">
        <f t="shared" si="169"/>
        <v>2015</v>
      </c>
      <c r="W62" s="534">
        <f t="shared" si="169"/>
        <v>2016</v>
      </c>
      <c r="X62" s="534">
        <f t="shared" si="169"/>
        <v>2017</v>
      </c>
      <c r="Y62" s="534">
        <f t="shared" si="169"/>
        <v>2018</v>
      </c>
      <c r="Z62" s="534">
        <f t="shared" si="169"/>
        <v>2019</v>
      </c>
      <c r="AA62" s="534">
        <f t="shared" si="169"/>
        <v>2020</v>
      </c>
      <c r="AB62" s="534">
        <f t="shared" si="169"/>
        <v>2021</v>
      </c>
      <c r="AC62" s="1187">
        <f t="shared" si="169"/>
        <v>2022</v>
      </c>
    </row>
    <row r="63" spans="1:30">
      <c r="A63" s="534" t="s">
        <v>36</v>
      </c>
      <c r="B63" s="534" t="s">
        <v>55</v>
      </c>
      <c r="C63" s="752">
        <v>0.49280125195618152</v>
      </c>
      <c r="D63" s="752">
        <v>0.50079556677274228</v>
      </c>
      <c r="E63" s="752">
        <v>0.50359886875356552</v>
      </c>
      <c r="F63" s="752">
        <v>0.50410873021204183</v>
      </c>
      <c r="G63" s="752">
        <v>0.49434509328858395</v>
      </c>
      <c r="H63" s="752">
        <v>0.48840718018632129</v>
      </c>
      <c r="I63" s="752">
        <v>0.50299784456387719</v>
      </c>
      <c r="J63" s="752">
        <v>0.499310734560026</v>
      </c>
      <c r="K63" s="752">
        <v>0.49450212078368005</v>
      </c>
      <c r="L63" s="752">
        <v>0.49477297792689934</v>
      </c>
      <c r="M63" s="752">
        <v>0.48568622673134998</v>
      </c>
      <c r="N63" s="752">
        <v>0.48777918395916259</v>
      </c>
      <c r="O63" s="752">
        <v>0.49328305283543822</v>
      </c>
      <c r="P63" s="752">
        <v>0.50985565845609548</v>
      </c>
      <c r="Q63" s="752">
        <v>0.49289551606043946</v>
      </c>
      <c r="R63" s="752">
        <v>0.50349415307051326</v>
      </c>
      <c r="S63" s="752">
        <v>0.49136665454496475</v>
      </c>
      <c r="T63" s="752">
        <v>0.49652056888191576</v>
      </c>
      <c r="U63" s="752">
        <v>0.49466709654496288</v>
      </c>
      <c r="V63" s="752">
        <v>0.47554086313131944</v>
      </c>
      <c r="W63" s="752">
        <v>0.4772548994998525</v>
      </c>
      <c r="X63" s="752">
        <v>0.47116342725428284</v>
      </c>
      <c r="Y63" s="752">
        <v>0.46763831018850188</v>
      </c>
      <c r="Z63" s="752">
        <v>0.45476279664191438</v>
      </c>
      <c r="AA63" s="752">
        <v>0.45190309117211791</v>
      </c>
      <c r="AB63" s="752">
        <v>0.44419406150583246</v>
      </c>
      <c r="AC63" s="1207">
        <v>0.43396567765946448</v>
      </c>
      <c r="AD63" s="1095"/>
    </row>
    <row r="64" spans="1:30">
      <c r="A64" s="525"/>
      <c r="B64" s="545" t="s">
        <v>56</v>
      </c>
      <c r="C64" s="753">
        <v>0.17773082942097027</v>
      </c>
      <c r="D64" s="753">
        <v>0.17634149017886536</v>
      </c>
      <c r="E64" s="753">
        <v>0.16765994635075923</v>
      </c>
      <c r="F64" s="753">
        <v>0.16349835426882514</v>
      </c>
      <c r="G64" s="753">
        <v>0.16975642693304471</v>
      </c>
      <c r="H64" s="753">
        <v>0.18036809815950922</v>
      </c>
      <c r="I64" s="753">
        <v>0.14976986719125024</v>
      </c>
      <c r="J64" s="753">
        <v>0.15863379883723916</v>
      </c>
      <c r="K64" s="753">
        <v>0.1664633407392446</v>
      </c>
      <c r="L64" s="753">
        <v>0.16689966913649285</v>
      </c>
      <c r="M64" s="753">
        <v>0.16373154937273404</v>
      </c>
      <c r="N64" s="753">
        <v>0.16213349924702522</v>
      </c>
      <c r="O64" s="753">
        <v>0.15755162161424949</v>
      </c>
      <c r="P64" s="753">
        <v>0.14815447964204487</v>
      </c>
      <c r="Q64" s="753">
        <v>0.14456713985731415</v>
      </c>
      <c r="R64" s="753">
        <v>0.14402352776416216</v>
      </c>
      <c r="S64" s="753">
        <v>0.1528681293520277</v>
      </c>
      <c r="T64" s="753">
        <v>0.15253366155177894</v>
      </c>
      <c r="U64" s="753">
        <v>0.14487337232943592</v>
      </c>
      <c r="V64" s="753">
        <v>0.13389408956268514</v>
      </c>
      <c r="W64" s="753">
        <v>0.13183310009852339</v>
      </c>
      <c r="X64" s="753">
        <v>0.13070098562973456</v>
      </c>
      <c r="Y64" s="753">
        <v>0.12947541566130411</v>
      </c>
      <c r="Z64" s="753">
        <v>0.12166449992287862</v>
      </c>
      <c r="AA64" s="753">
        <v>0.12168476363092169</v>
      </c>
      <c r="AB64" s="753">
        <v>0.1149575821845175</v>
      </c>
      <c r="AC64" s="1207">
        <v>0.11152693063165513</v>
      </c>
      <c r="AD64" s="1095"/>
    </row>
    <row r="65" spans="1:30">
      <c r="A65" s="525"/>
      <c r="B65" s="545" t="s">
        <v>57</v>
      </c>
      <c r="C65" s="770">
        <v>0</v>
      </c>
      <c r="D65" s="770">
        <v>0</v>
      </c>
      <c r="E65" s="770">
        <v>0</v>
      </c>
      <c r="F65" s="770">
        <v>0</v>
      </c>
      <c r="G65" s="770">
        <v>0</v>
      </c>
      <c r="H65" s="770">
        <v>0</v>
      </c>
      <c r="I65" s="770">
        <v>0</v>
      </c>
      <c r="J65" s="770">
        <v>0</v>
      </c>
      <c r="K65" s="770">
        <v>0</v>
      </c>
      <c r="L65" s="770">
        <v>0</v>
      </c>
      <c r="M65" s="770">
        <v>0</v>
      </c>
      <c r="N65" s="753">
        <v>3.4976208825005836E-2</v>
      </c>
      <c r="O65" s="753">
        <v>2.965003682387278E-2</v>
      </c>
      <c r="P65" s="753">
        <v>3.1164989371348723E-2</v>
      </c>
      <c r="Q65" s="753">
        <v>3.1233232424268519E-2</v>
      </c>
      <c r="R65" s="753">
        <v>3.4234297318114976E-2</v>
      </c>
      <c r="S65" s="753">
        <v>3.8459466375745821E-2</v>
      </c>
      <c r="T65" s="753">
        <v>4.284873773407543E-2</v>
      </c>
      <c r="U65" s="753">
        <v>4.0406366585296845E-2</v>
      </c>
      <c r="V65" s="753">
        <v>4.0063241304320658E-2</v>
      </c>
      <c r="W65" s="753">
        <v>4.282316617823323E-2</v>
      </c>
      <c r="X65" s="753">
        <v>3.8758898879911644E-2</v>
      </c>
      <c r="Y65" s="753">
        <v>4.162630888176936E-2</v>
      </c>
      <c r="Z65" s="753">
        <v>4.5936804530330742E-2</v>
      </c>
      <c r="AA65" s="753">
        <v>5.0350022447995475E-2</v>
      </c>
      <c r="AB65" s="753">
        <v>4.9809119830328735E-2</v>
      </c>
      <c r="AC65" s="1207">
        <v>5.3587304869223612E-2</v>
      </c>
      <c r="AD65" s="1095"/>
    </row>
    <row r="66" spans="1:30">
      <c r="A66" s="525"/>
      <c r="B66" s="545" t="s">
        <v>58</v>
      </c>
      <c r="C66" s="770">
        <v>0</v>
      </c>
      <c r="D66" s="770">
        <v>0</v>
      </c>
      <c r="E66" s="770">
        <v>0</v>
      </c>
      <c r="F66" s="770">
        <v>0</v>
      </c>
      <c r="G66" s="770">
        <v>0</v>
      </c>
      <c r="H66" s="770">
        <v>0</v>
      </c>
      <c r="I66" s="770">
        <v>0</v>
      </c>
      <c r="J66" s="770">
        <v>0</v>
      </c>
      <c r="K66" s="770">
        <v>0</v>
      </c>
      <c r="L66" s="770">
        <v>0</v>
      </c>
      <c r="M66" s="770">
        <v>0</v>
      </c>
      <c r="N66" s="770">
        <v>0</v>
      </c>
      <c r="O66" s="753">
        <v>1.0249311257194294E-2</v>
      </c>
      <c r="P66" s="753">
        <v>1.2122608553462859E-2</v>
      </c>
      <c r="Q66" s="753">
        <v>1.3573042043971622E-2</v>
      </c>
      <c r="R66" s="753">
        <v>1.7841887822981583E-2</v>
      </c>
      <c r="S66" s="753">
        <v>2.5125594300106403E-2</v>
      </c>
      <c r="T66" s="753">
        <v>2.7429684382798289E-2</v>
      </c>
      <c r="U66" s="753">
        <v>3.0424855738546266E-2</v>
      </c>
      <c r="V66" s="753">
        <v>3.5751334191548662E-2</v>
      </c>
      <c r="W66" s="753">
        <v>4.4868938771155858E-2</v>
      </c>
      <c r="X66" s="753">
        <v>5.1868614716016184E-2</v>
      </c>
      <c r="Y66" s="753">
        <v>5.4332563430975291E-2</v>
      </c>
      <c r="Z66" s="753">
        <v>6.7354516008196905E-2</v>
      </c>
      <c r="AA66" s="753">
        <v>7.4471917834793844E-2</v>
      </c>
      <c r="AB66" s="753">
        <v>8.8361611876988336E-2</v>
      </c>
      <c r="AC66" s="1207">
        <v>9.8423446707329679E-2</v>
      </c>
      <c r="AD66" s="1095"/>
    </row>
    <row r="67" spans="1:30">
      <c r="A67" s="525"/>
      <c r="B67" s="545" t="s">
        <v>59</v>
      </c>
      <c r="C67" s="753">
        <v>0.29167449139280127</v>
      </c>
      <c r="D67" s="753">
        <v>0.28115055415340723</v>
      </c>
      <c r="E67" s="753">
        <v>0.28526345175816575</v>
      </c>
      <c r="F67" s="753">
        <v>0.28428606614271962</v>
      </c>
      <c r="G67" s="753">
        <v>0.2828744203596501</v>
      </c>
      <c r="H67" s="753">
        <v>0.2767552828902522</v>
      </c>
      <c r="I67" s="753">
        <v>0.28348220588650547</v>
      </c>
      <c r="J67" s="753">
        <v>0.27307754878372476</v>
      </c>
      <c r="K67" s="753">
        <v>0.26359927287416685</v>
      </c>
      <c r="L67" s="753">
        <v>0.25401929260450162</v>
      </c>
      <c r="M67" s="753">
        <v>0.25709412311986357</v>
      </c>
      <c r="N67" s="753">
        <v>0.25122490967837724</v>
      </c>
      <c r="O67" s="753">
        <v>0.25390742205613592</v>
      </c>
      <c r="P67" s="753">
        <v>0.24502385872069687</v>
      </c>
      <c r="Q67" s="753">
        <v>0.26178284457575135</v>
      </c>
      <c r="R67" s="753">
        <v>0.24503186051396961</v>
      </c>
      <c r="S67" s="753">
        <v>0.23719476881220791</v>
      </c>
      <c r="T67" s="753">
        <v>0.22881063644171531</v>
      </c>
      <c r="U67" s="753">
        <v>0.24010238121870497</v>
      </c>
      <c r="V67" s="753">
        <v>0.26678831660646662</v>
      </c>
      <c r="W67" s="753">
        <v>0.2514919706563416</v>
      </c>
      <c r="X67" s="753">
        <v>0.25488913166140437</v>
      </c>
      <c r="Y67" s="753">
        <v>0.25096715401676972</v>
      </c>
      <c r="Z67" s="753">
        <v>0.25437388449419385</v>
      </c>
      <c r="AA67" s="753">
        <v>0.24526513576880227</v>
      </c>
      <c r="AB67" s="753">
        <v>0.24672852598091199</v>
      </c>
      <c r="AC67" s="1207">
        <v>0.248568179468624</v>
      </c>
      <c r="AD67" s="1095"/>
    </row>
    <row r="68" spans="1:30">
      <c r="A68" s="525"/>
      <c r="B68" s="746" t="s">
        <v>51</v>
      </c>
      <c r="C68" s="754">
        <v>3.7793427230046951E-2</v>
      </c>
      <c r="D68" s="754">
        <v>4.1712388894985186E-2</v>
      </c>
      <c r="E68" s="754">
        <v>4.3477733137509557E-2</v>
      </c>
      <c r="F68" s="754">
        <v>4.8106849376413428E-2</v>
      </c>
      <c r="G68" s="754">
        <v>5.3024059418721264E-2</v>
      </c>
      <c r="H68" s="754">
        <v>5.4469438763917293E-2</v>
      </c>
      <c r="I68" s="754">
        <v>6.3750082358367141E-2</v>
      </c>
      <c r="J68" s="754">
        <v>6.8977917819010026E-2</v>
      </c>
      <c r="K68" s="754">
        <v>7.5435265602908502E-2</v>
      </c>
      <c r="L68" s="754">
        <v>8.4308060332106194E-2</v>
      </c>
      <c r="M68" s="754">
        <v>9.3488100776052394E-2</v>
      </c>
      <c r="N68" s="754">
        <v>6.3886198290429089E-2</v>
      </c>
      <c r="O68" s="754">
        <v>5.5358555413109301E-2</v>
      </c>
      <c r="P68" s="754">
        <v>5.3678405256351175E-2</v>
      </c>
      <c r="Q68" s="754">
        <v>5.594822503825491E-2</v>
      </c>
      <c r="R68" s="754">
        <v>5.5374273510258386E-2</v>
      </c>
      <c r="S68" s="754">
        <v>5.4985386614947403E-2</v>
      </c>
      <c r="T68" s="754">
        <v>5.1856711007716293E-2</v>
      </c>
      <c r="U68" s="754">
        <v>4.9525927583053145E-2</v>
      </c>
      <c r="V68" s="754">
        <v>4.7962155203659498E-2</v>
      </c>
      <c r="W68" s="754">
        <v>5.1727924795893394E-2</v>
      </c>
      <c r="X68" s="754">
        <v>5.2618941858650368E-2</v>
      </c>
      <c r="Y68" s="754">
        <v>5.5960247820679612E-2</v>
      </c>
      <c r="Z68" s="754">
        <v>5.590749840248551E-2</v>
      </c>
      <c r="AA68" s="754">
        <v>5.6325069145368785E-2</v>
      </c>
      <c r="AB68" s="754">
        <v>5.5949098621420994E-2</v>
      </c>
      <c r="AC68" s="1207">
        <v>5.392846066370309E-2</v>
      </c>
      <c r="AD68" s="1095"/>
    </row>
    <row r="69" spans="1:30">
      <c r="A69" s="526"/>
      <c r="B69" s="526" t="s">
        <v>52</v>
      </c>
      <c r="C69" s="550">
        <v>1</v>
      </c>
      <c r="D69" s="550">
        <v>1</v>
      </c>
      <c r="E69" s="550">
        <v>1</v>
      </c>
      <c r="F69" s="550">
        <v>1</v>
      </c>
      <c r="G69" s="550">
        <v>1</v>
      </c>
      <c r="H69" s="550">
        <v>1</v>
      </c>
      <c r="I69" s="550">
        <v>0.99999999999999989</v>
      </c>
      <c r="J69" s="550">
        <v>0.99999999999999978</v>
      </c>
      <c r="K69" s="550">
        <v>1</v>
      </c>
      <c r="L69" s="550">
        <v>1</v>
      </c>
      <c r="M69" s="550">
        <v>1</v>
      </c>
      <c r="N69" s="550">
        <v>1</v>
      </c>
      <c r="O69" s="550">
        <v>1</v>
      </c>
      <c r="P69" s="550">
        <v>0.99999999999999989</v>
      </c>
      <c r="Q69" s="550">
        <v>1</v>
      </c>
      <c r="R69" s="550">
        <v>1</v>
      </c>
      <c r="S69" s="550">
        <v>1</v>
      </c>
      <c r="T69" s="550">
        <v>0.99999999999999989</v>
      </c>
      <c r="U69" s="550">
        <v>1</v>
      </c>
      <c r="V69" s="550">
        <v>1</v>
      </c>
      <c r="W69" s="550">
        <v>0.99999999999999989</v>
      </c>
      <c r="X69" s="550">
        <v>1</v>
      </c>
      <c r="Y69" s="550">
        <v>1</v>
      </c>
      <c r="Z69" s="550">
        <v>1</v>
      </c>
      <c r="AA69" s="550">
        <v>1</v>
      </c>
      <c r="AB69" s="550">
        <v>1</v>
      </c>
      <c r="AC69" s="1208">
        <v>0.99999999999999989</v>
      </c>
      <c r="AD69" s="1095"/>
    </row>
    <row r="70" spans="1:30">
      <c r="A70" s="534" t="s">
        <v>38</v>
      </c>
      <c r="B70" s="534" t="s">
        <v>55</v>
      </c>
      <c r="C70" s="752">
        <v>4.0281071773302993E-2</v>
      </c>
      <c r="D70" s="752">
        <v>3.0123293432214256E-2</v>
      </c>
      <c r="E70" s="752">
        <v>3.9834586242610145E-2</v>
      </c>
      <c r="F70" s="752">
        <v>4.6798387792582365E-2</v>
      </c>
      <c r="G70" s="752">
        <v>4.6256852803497651E-2</v>
      </c>
      <c r="H70" s="752">
        <v>4.9711390675698755E-2</v>
      </c>
      <c r="I70" s="752">
        <v>3.2987051234550306E-2</v>
      </c>
      <c r="J70" s="752">
        <v>4.458813048909202E-2</v>
      </c>
      <c r="K70" s="752">
        <v>5.0855509937813327E-2</v>
      </c>
      <c r="L70" s="752">
        <v>5.2596949503369406E-2</v>
      </c>
      <c r="M70" s="752">
        <v>5.8303195211831436E-2</v>
      </c>
      <c r="N70" s="752">
        <v>6.2103353343881139E-2</v>
      </c>
      <c r="O70" s="752">
        <v>6.3403767755663656E-2</v>
      </c>
      <c r="P70" s="752">
        <v>6.096168630735866E-2</v>
      </c>
      <c r="Q70" s="752">
        <v>6.1297511883411974E-2</v>
      </c>
      <c r="R70" s="752">
        <v>6.1361314614284464E-2</v>
      </c>
      <c r="S70" s="752">
        <v>6.0966288988202895E-2</v>
      </c>
      <c r="T70" s="752">
        <v>6.2733683274671478E-2</v>
      </c>
      <c r="U70" s="752">
        <v>6.4879489798735535E-2</v>
      </c>
      <c r="V70" s="752">
        <v>6.5210638771841203E-2</v>
      </c>
      <c r="W70" s="752">
        <v>6.4601844959341168E-2</v>
      </c>
      <c r="X70" s="752">
        <v>6.4553706837813488E-2</v>
      </c>
      <c r="Y70" s="752">
        <v>6.6601396192839168E-2</v>
      </c>
      <c r="Z70" s="752">
        <v>6.6220950809984122E-2</v>
      </c>
      <c r="AA70" s="752">
        <v>6.680717712637621E-2</v>
      </c>
      <c r="AB70" s="752">
        <v>7.2251037344398333E-2</v>
      </c>
      <c r="AC70" s="1230">
        <v>7.4572583152004976E-2</v>
      </c>
      <c r="AD70" s="1095"/>
    </row>
    <row r="71" spans="1:30">
      <c r="A71" s="525"/>
      <c r="B71" s="545" t="s">
        <v>56</v>
      </c>
      <c r="C71" s="753">
        <v>0.90936825696462809</v>
      </c>
      <c r="D71" s="753">
        <v>0.89958816711286171</v>
      </c>
      <c r="E71" s="753">
        <v>0.89045179066091174</v>
      </c>
      <c r="F71" s="753">
        <v>0.88789735119744606</v>
      </c>
      <c r="G71" s="753">
        <v>0.88669039634669744</v>
      </c>
      <c r="H71" s="753">
        <v>0.88066716001593892</v>
      </c>
      <c r="I71" s="753">
        <v>0.87748073835513629</v>
      </c>
      <c r="J71" s="753">
        <v>0.8780392745441693</v>
      </c>
      <c r="K71" s="753">
        <v>0.87079306326684491</v>
      </c>
      <c r="L71" s="753">
        <v>0.86157563723722597</v>
      </c>
      <c r="M71" s="753">
        <v>0.84923435305402351</v>
      </c>
      <c r="N71" s="753">
        <v>0.84154825620566709</v>
      </c>
      <c r="O71" s="753">
        <v>0.84426678124408572</v>
      </c>
      <c r="P71" s="753">
        <v>0.84715544641935081</v>
      </c>
      <c r="Q71" s="753">
        <v>0.84179536735558536</v>
      </c>
      <c r="R71" s="753">
        <v>0.83938005312162522</v>
      </c>
      <c r="S71" s="753">
        <v>0.83727056325044635</v>
      </c>
      <c r="T71" s="753">
        <v>0.82734840273295251</v>
      </c>
      <c r="U71" s="753">
        <v>0.8158526821457166</v>
      </c>
      <c r="V71" s="753">
        <v>0.81211780836531011</v>
      </c>
      <c r="W71" s="753">
        <v>0.81739802312323917</v>
      </c>
      <c r="X71" s="753">
        <v>0.81729093598008029</v>
      </c>
      <c r="Y71" s="753">
        <v>0.80885424805543948</v>
      </c>
      <c r="Z71" s="753">
        <v>0.79674252928054445</v>
      </c>
      <c r="AA71" s="753">
        <v>0.78811115116891761</v>
      </c>
      <c r="AB71" s="753">
        <v>0.76919778699861685</v>
      </c>
      <c r="AC71" s="1207">
        <v>0.75575242634614725</v>
      </c>
      <c r="AD71" s="1095"/>
    </row>
    <row r="72" spans="1:30">
      <c r="A72" s="525"/>
      <c r="B72" s="545" t="s">
        <v>57</v>
      </c>
      <c r="C72" s="770">
        <v>0</v>
      </c>
      <c r="D72" s="770">
        <v>0</v>
      </c>
      <c r="E72" s="770">
        <v>0</v>
      </c>
      <c r="F72" s="770">
        <v>0</v>
      </c>
      <c r="G72" s="770">
        <v>0</v>
      </c>
      <c r="H72" s="770">
        <v>0</v>
      </c>
      <c r="I72" s="770">
        <v>0</v>
      </c>
      <c r="J72" s="770">
        <v>0</v>
      </c>
      <c r="K72" s="770">
        <v>0</v>
      </c>
      <c r="L72" s="770">
        <v>0</v>
      </c>
      <c r="M72" s="770">
        <v>0</v>
      </c>
      <c r="N72" s="753">
        <v>1.6016008438243613E-2</v>
      </c>
      <c r="O72" s="753">
        <v>1.4319619848491824E-2</v>
      </c>
      <c r="P72" s="753">
        <v>1.3717885460533111E-2</v>
      </c>
      <c r="Q72" s="753">
        <v>1.4138213222363449E-2</v>
      </c>
      <c r="R72" s="753">
        <v>1.4614284463384022E-2</v>
      </c>
      <c r="S72" s="753">
        <v>1.6651302815668793E-2</v>
      </c>
      <c r="T72" s="753">
        <v>1.867639357439501E-2</v>
      </c>
      <c r="U72" s="753">
        <v>1.7430035982809237E-2</v>
      </c>
      <c r="V72" s="753">
        <v>1.6384235742232234E-2</v>
      </c>
      <c r="W72" s="753">
        <v>1.6382887169774579E-2</v>
      </c>
      <c r="X72" s="753">
        <v>1.3099764819658438E-2</v>
      </c>
      <c r="Y72" s="753">
        <v>1.6168793272251226E-2</v>
      </c>
      <c r="Z72" s="753">
        <v>1.8294049076368075E-2</v>
      </c>
      <c r="AA72" s="753">
        <v>2.0386727308022962E-2</v>
      </c>
      <c r="AB72" s="753">
        <v>2.0525587828492394E-2</v>
      </c>
      <c r="AC72" s="1207">
        <v>2.4691741788415707E-2</v>
      </c>
      <c r="AD72" s="1095"/>
    </row>
    <row r="73" spans="1:30">
      <c r="A73" s="525"/>
      <c r="B73" s="545" t="s">
        <v>58</v>
      </c>
      <c r="C73" s="770">
        <v>0</v>
      </c>
      <c r="D73" s="770">
        <v>0</v>
      </c>
      <c r="E73" s="770">
        <v>0</v>
      </c>
      <c r="F73" s="770">
        <v>0</v>
      </c>
      <c r="G73" s="770">
        <v>0</v>
      </c>
      <c r="H73" s="770">
        <v>0</v>
      </c>
      <c r="I73" s="770">
        <v>0</v>
      </c>
      <c r="J73" s="770">
        <v>0</v>
      </c>
      <c r="K73" s="770">
        <v>0</v>
      </c>
      <c r="L73" s="770">
        <v>0</v>
      </c>
      <c r="M73" s="770">
        <v>0</v>
      </c>
      <c r="N73" s="770">
        <v>0</v>
      </c>
      <c r="O73" s="753">
        <v>1.9744144531230021E-3</v>
      </c>
      <c r="P73" s="753">
        <v>2.555967366234839E-3</v>
      </c>
      <c r="Q73" s="753">
        <v>3.0847538290994145E-3</v>
      </c>
      <c r="R73" s="753">
        <v>4.0891976299582619E-3</v>
      </c>
      <c r="S73" s="753">
        <v>5.8985519084236689E-3</v>
      </c>
      <c r="T73" s="753">
        <v>6.2843293670608582E-3</v>
      </c>
      <c r="U73" s="753">
        <v>7.7640656586571936E-3</v>
      </c>
      <c r="V73" s="753">
        <v>8.9106146127804573E-3</v>
      </c>
      <c r="W73" s="753">
        <v>1.1966794500928133E-2</v>
      </c>
      <c r="X73" s="753">
        <v>1.4867542286932576E-2</v>
      </c>
      <c r="Y73" s="753">
        <v>1.6982016602512383E-2</v>
      </c>
      <c r="Z73" s="753">
        <v>2.5804545262672542E-2</v>
      </c>
      <c r="AA73" s="753">
        <v>2.9139743198646661E-2</v>
      </c>
      <c r="AB73" s="753">
        <v>3.2396265560165977E-2</v>
      </c>
      <c r="AC73" s="1207">
        <v>3.3993023175491313E-2</v>
      </c>
      <c r="AD73" s="1095"/>
    </row>
    <row r="74" spans="1:30">
      <c r="A74" s="525"/>
      <c r="B74" s="545" t="s">
        <v>59</v>
      </c>
      <c r="C74" s="753">
        <v>4.0281071773302993E-2</v>
      </c>
      <c r="D74" s="753">
        <v>5.0207198613205321E-2</v>
      </c>
      <c r="E74" s="753">
        <v>4.9795091106408916E-2</v>
      </c>
      <c r="F74" s="753">
        <v>5.0316155353687247E-2</v>
      </c>
      <c r="G74" s="753">
        <v>5.1881015874469229E-2</v>
      </c>
      <c r="H74" s="753">
        <v>5.32498434564809E-2</v>
      </c>
      <c r="I74" s="753">
        <v>5.3946855910546168E-2</v>
      </c>
      <c r="J74" s="753">
        <v>5.2487097305200778E-2</v>
      </c>
      <c r="K74" s="753">
        <v>5.4351294432980916E-2</v>
      </c>
      <c r="L74" s="753">
        <v>5.5753281601955612E-2</v>
      </c>
      <c r="M74" s="753">
        <v>6.1078023069732847E-2</v>
      </c>
      <c r="N74" s="753">
        <v>6.5673961810891496E-2</v>
      </c>
      <c r="O74" s="753">
        <v>6.4224735423348223E-2</v>
      </c>
      <c r="P74" s="753">
        <v>6.416309997819826E-2</v>
      </c>
      <c r="Q74" s="753">
        <v>6.7275492022588645E-2</v>
      </c>
      <c r="R74" s="753">
        <v>6.8340095151922006E-2</v>
      </c>
      <c r="S74" s="753">
        <v>6.6867758083524895E-2</v>
      </c>
      <c r="T74" s="753">
        <v>7.1493380749978686E-2</v>
      </c>
      <c r="U74" s="753">
        <v>7.9751157247637192E-2</v>
      </c>
      <c r="V74" s="753">
        <v>8.3147956990596794E-2</v>
      </c>
      <c r="W74" s="753">
        <v>7.5315423973164222E-2</v>
      </c>
      <c r="X74" s="753">
        <v>7.5198050734899324E-2</v>
      </c>
      <c r="Y74" s="753">
        <v>7.3735437721443906E-2</v>
      </c>
      <c r="Z74" s="753">
        <v>7.4250979806409087E-2</v>
      </c>
      <c r="AA74" s="753">
        <v>7.782731079619512E-2</v>
      </c>
      <c r="AB74" s="753">
        <v>8.644190871369295E-2</v>
      </c>
      <c r="AC74" s="1207">
        <v>9.2819396953683561E-2</v>
      </c>
      <c r="AD74" s="1095"/>
    </row>
    <row r="75" spans="1:30">
      <c r="A75" s="525"/>
      <c r="B75" s="746" t="s">
        <v>51</v>
      </c>
      <c r="C75" s="754">
        <v>1.0069599488765953E-2</v>
      </c>
      <c r="D75" s="754">
        <v>2.0081340841718722E-2</v>
      </c>
      <c r="E75" s="754">
        <v>1.9918531990069228E-2</v>
      </c>
      <c r="F75" s="754">
        <v>1.498810565628428E-2</v>
      </c>
      <c r="G75" s="754">
        <v>1.5171734975335629E-2</v>
      </c>
      <c r="H75" s="754">
        <v>1.6371605851881368E-2</v>
      </c>
      <c r="I75" s="754">
        <v>3.5585354499767248E-2</v>
      </c>
      <c r="J75" s="754">
        <v>2.4885497661537866E-2</v>
      </c>
      <c r="K75" s="754">
        <v>2.4000132362360871E-2</v>
      </c>
      <c r="L75" s="754">
        <v>3.0074131657448992E-2</v>
      </c>
      <c r="M75" s="754">
        <v>3.1384428664412219E-2</v>
      </c>
      <c r="N75" s="754">
        <v>1.465842020131671E-2</v>
      </c>
      <c r="O75" s="754">
        <v>1.1810681275287595E-2</v>
      </c>
      <c r="P75" s="754">
        <v>1.1445914468324363E-2</v>
      </c>
      <c r="Q75" s="754">
        <v>1.2408661686951173E-2</v>
      </c>
      <c r="R75" s="754">
        <v>1.221505501882607E-2</v>
      </c>
      <c r="S75" s="754">
        <v>1.2345534953733415E-2</v>
      </c>
      <c r="T75" s="754">
        <v>1.3463810300941431E-2</v>
      </c>
      <c r="U75" s="754">
        <v>1.4322569166444267E-2</v>
      </c>
      <c r="V75" s="754">
        <v>1.4228745517239216E-2</v>
      </c>
      <c r="W75" s="754">
        <v>1.4335026273552756E-2</v>
      </c>
      <c r="X75" s="754">
        <v>1.4989999340615864E-2</v>
      </c>
      <c r="Y75" s="754">
        <v>1.7658108155513812E-2</v>
      </c>
      <c r="Z75" s="754">
        <v>1.8686945764021703E-2</v>
      </c>
      <c r="AA75" s="754">
        <v>1.7727890401841428E-2</v>
      </c>
      <c r="AB75" s="754">
        <v>1.9187413554633471E-2</v>
      </c>
      <c r="AC75" s="1207">
        <v>1.8170828584257243E-2</v>
      </c>
      <c r="AD75" s="1095"/>
    </row>
    <row r="76" spans="1:30">
      <c r="A76" s="526"/>
      <c r="B76" s="526" t="s">
        <v>52</v>
      </c>
      <c r="C76" s="550">
        <v>1</v>
      </c>
      <c r="D76" s="550">
        <v>1</v>
      </c>
      <c r="E76" s="550">
        <v>1</v>
      </c>
      <c r="F76" s="550">
        <v>1</v>
      </c>
      <c r="G76" s="550">
        <v>1</v>
      </c>
      <c r="H76" s="550">
        <v>0.99999999999999989</v>
      </c>
      <c r="I76" s="550">
        <v>1</v>
      </c>
      <c r="J76" s="550">
        <v>1</v>
      </c>
      <c r="K76" s="550">
        <v>1</v>
      </c>
      <c r="L76" s="550">
        <v>1</v>
      </c>
      <c r="M76" s="550">
        <v>1</v>
      </c>
      <c r="N76" s="550">
        <v>1</v>
      </c>
      <c r="O76" s="550">
        <v>1</v>
      </c>
      <c r="P76" s="550">
        <v>1</v>
      </c>
      <c r="Q76" s="550">
        <v>1</v>
      </c>
      <c r="R76" s="550">
        <v>1</v>
      </c>
      <c r="S76" s="550">
        <v>1</v>
      </c>
      <c r="T76" s="550">
        <v>0.99999999999999989</v>
      </c>
      <c r="U76" s="550">
        <v>0.99999999999999989</v>
      </c>
      <c r="V76" s="550">
        <v>1</v>
      </c>
      <c r="W76" s="550">
        <v>1</v>
      </c>
      <c r="X76" s="550">
        <v>0.99999999999999989</v>
      </c>
      <c r="Y76" s="550">
        <v>0.99999999999999989</v>
      </c>
      <c r="Z76" s="550">
        <v>1</v>
      </c>
      <c r="AA76" s="550">
        <v>0.99999999999999989</v>
      </c>
      <c r="AB76" s="550">
        <v>0.99999999999999989</v>
      </c>
      <c r="AC76" s="1208">
        <v>1.0000000000000002</v>
      </c>
      <c r="AD76" s="1095"/>
    </row>
    <row r="77" spans="1:30">
      <c r="A77" s="534" t="s">
        <v>42</v>
      </c>
      <c r="B77" s="534" t="s">
        <v>55</v>
      </c>
      <c r="C77" s="772"/>
      <c r="D77" s="772"/>
      <c r="E77" s="772"/>
      <c r="F77" s="772"/>
      <c r="G77" s="772"/>
      <c r="H77" s="772"/>
      <c r="I77" s="772"/>
      <c r="J77" s="772"/>
      <c r="K77" s="772"/>
      <c r="L77" s="772"/>
      <c r="M77" s="772"/>
      <c r="N77" s="752">
        <v>6.4284016257994195E-2</v>
      </c>
      <c r="O77" s="752">
        <v>6.4653757794552014E-2</v>
      </c>
      <c r="P77" s="752">
        <v>5.6701503763996505E-2</v>
      </c>
      <c r="Q77" s="752">
        <v>5.7906773034844004E-2</v>
      </c>
      <c r="R77" s="752">
        <v>5.9064183675750601E-2</v>
      </c>
      <c r="S77" s="752">
        <v>5.3960776010375036E-2</v>
      </c>
      <c r="T77" s="752">
        <v>5.7363787886934289E-2</v>
      </c>
      <c r="U77" s="752">
        <v>5.8485344188081337E-2</v>
      </c>
      <c r="V77" s="752">
        <v>5.6267372972568251E-2</v>
      </c>
      <c r="W77" s="752">
        <v>5.6706411913997029E-2</v>
      </c>
      <c r="X77" s="752">
        <v>5.7121230618972042E-2</v>
      </c>
      <c r="Y77" s="752">
        <v>6.0492780677359137E-2</v>
      </c>
      <c r="Z77" s="752">
        <v>5.590592533394223E-2</v>
      </c>
      <c r="AA77" s="752">
        <v>5.0494136947155349E-2</v>
      </c>
      <c r="AB77" s="752">
        <v>5.2323969108984111E-2</v>
      </c>
      <c r="AC77" s="1207">
        <v>5.4428467426662124E-2</v>
      </c>
      <c r="AD77" s="1095"/>
    </row>
    <row r="78" spans="1:30">
      <c r="A78" s="525"/>
      <c r="B78" s="545" t="s">
        <v>56</v>
      </c>
      <c r="C78" s="770"/>
      <c r="D78" s="770"/>
      <c r="E78" s="770"/>
      <c r="F78" s="770"/>
      <c r="G78" s="770"/>
      <c r="H78" s="770"/>
      <c r="I78" s="770"/>
      <c r="J78" s="770"/>
      <c r="K78" s="770"/>
      <c r="L78" s="770"/>
      <c r="M78" s="770"/>
      <c r="N78" s="753">
        <v>0.10494639616394831</v>
      </c>
      <c r="O78" s="753">
        <v>0.10286464438088987</v>
      </c>
      <c r="P78" s="753">
        <v>8.6642246044898882E-2</v>
      </c>
      <c r="Q78" s="753">
        <v>8.4338128523641837E-2</v>
      </c>
      <c r="R78" s="753">
        <v>8.5142295052648045E-2</v>
      </c>
      <c r="S78" s="753">
        <v>8.4715348172458516E-2</v>
      </c>
      <c r="T78" s="753">
        <v>7.9667039772421788E-2</v>
      </c>
      <c r="U78" s="753">
        <v>7.4434595705019688E-2</v>
      </c>
      <c r="V78" s="753">
        <v>7.1518152124065246E-2</v>
      </c>
      <c r="W78" s="753">
        <v>7.0741751664032945E-2</v>
      </c>
      <c r="X78" s="753">
        <v>7.3465999267488702E-2</v>
      </c>
      <c r="Y78" s="753">
        <v>7.4298068497847536E-2</v>
      </c>
      <c r="Z78" s="753">
        <v>6.8455303116794153E-2</v>
      </c>
      <c r="AA78" s="753">
        <v>6.1854215268192222E-2</v>
      </c>
      <c r="AB78" s="753">
        <v>5.9517306868124939E-2</v>
      </c>
      <c r="AC78" s="1207">
        <v>5.8329440776323155E-2</v>
      </c>
      <c r="AD78" s="1095"/>
    </row>
    <row r="79" spans="1:30">
      <c r="A79" s="525"/>
      <c r="B79" s="545" t="s">
        <v>57</v>
      </c>
      <c r="C79" s="770"/>
      <c r="D79" s="770"/>
      <c r="E79" s="770"/>
      <c r="F79" s="770"/>
      <c r="G79" s="770"/>
      <c r="H79" s="770"/>
      <c r="I79" s="770"/>
      <c r="J79" s="770"/>
      <c r="K79" s="770"/>
      <c r="L79" s="770"/>
      <c r="M79" s="770"/>
      <c r="N79" s="753">
        <v>0.74622685816001721</v>
      </c>
      <c r="O79" s="753">
        <v>0.74495991373247694</v>
      </c>
      <c r="P79" s="753">
        <v>0.77858160625722372</v>
      </c>
      <c r="Q79" s="753">
        <v>0.77486316952869183</v>
      </c>
      <c r="R79" s="753">
        <v>0.77146721513044647</v>
      </c>
      <c r="S79" s="753">
        <v>0.7841410158007569</v>
      </c>
      <c r="T79" s="753">
        <v>0.78194819858350151</v>
      </c>
      <c r="U79" s="753">
        <v>0.78021512943906568</v>
      </c>
      <c r="V79" s="753">
        <v>0.7827688189654366</v>
      </c>
      <c r="W79" s="753">
        <v>0.78256476559881238</v>
      </c>
      <c r="X79" s="753">
        <v>0.77661335612257354</v>
      </c>
      <c r="Y79" s="753">
        <v>0.77420092193988344</v>
      </c>
      <c r="Z79" s="753">
        <v>0.78366480191802712</v>
      </c>
      <c r="AA79" s="753">
        <v>0.79589784749447656</v>
      </c>
      <c r="AB79" s="753">
        <v>0.78254859284531808</v>
      </c>
      <c r="AC79" s="1207">
        <v>0.77324277352051274</v>
      </c>
      <c r="AD79" s="1095"/>
    </row>
    <row r="80" spans="1:30">
      <c r="A80" s="525"/>
      <c r="B80" s="545" t="s">
        <v>58</v>
      </c>
      <c r="C80" s="770"/>
      <c r="D80" s="770"/>
      <c r="E80" s="770"/>
      <c r="F80" s="770"/>
      <c r="G80" s="770"/>
      <c r="H80" s="770"/>
      <c r="I80" s="770"/>
      <c r="J80" s="770"/>
      <c r="K80" s="770"/>
      <c r="L80" s="770"/>
      <c r="M80" s="770"/>
      <c r="N80" s="753">
        <v>0</v>
      </c>
      <c r="O80" s="753">
        <v>2.8189319705565195E-3</v>
      </c>
      <c r="P80" s="753">
        <v>2.6051381151275354E-3</v>
      </c>
      <c r="Q80" s="753">
        <v>3.0393707268034872E-3</v>
      </c>
      <c r="R80" s="753">
        <v>4.2029017907044336E-3</v>
      </c>
      <c r="S80" s="753">
        <v>5.1981049678426804E-3</v>
      </c>
      <c r="T80" s="753">
        <v>5.6063620233736903E-3</v>
      </c>
      <c r="U80" s="753">
        <v>7.4753200311947201E-3</v>
      </c>
      <c r="V80" s="753">
        <v>9.1298773011876787E-3</v>
      </c>
      <c r="W80" s="753">
        <v>1.3546904180433845E-2</v>
      </c>
      <c r="X80" s="753">
        <v>1.4723476986936882E-2</v>
      </c>
      <c r="Y80" s="753">
        <v>1.4952950588593852E-2</v>
      </c>
      <c r="Z80" s="753">
        <v>1.7001940860828863E-2</v>
      </c>
      <c r="AA80" s="753">
        <v>1.8883484227748402E-2</v>
      </c>
      <c r="AB80" s="753">
        <v>2.6470810679081337E-2</v>
      </c>
      <c r="AC80" s="1207">
        <v>2.6595632761443066E-2</v>
      </c>
      <c r="AD80" s="1095"/>
    </row>
    <row r="81" spans="1:30">
      <c r="A81" s="525"/>
      <c r="B81" s="545" t="s">
        <v>59</v>
      </c>
      <c r="C81" s="770"/>
      <c r="D81" s="770"/>
      <c r="E81" s="770"/>
      <c r="F81" s="770"/>
      <c r="G81" s="770"/>
      <c r="H81" s="770"/>
      <c r="I81" s="770"/>
      <c r="J81" s="770"/>
      <c r="K81" s="770"/>
      <c r="L81" s="770"/>
      <c r="M81" s="770"/>
      <c r="N81" s="753">
        <v>7.0174929987418033E-2</v>
      </c>
      <c r="O81" s="753">
        <v>7.2606545079469273E-2</v>
      </c>
      <c r="P81" s="753">
        <v>6.5605449997859625E-2</v>
      </c>
      <c r="Q81" s="753">
        <v>6.7700954139011532E-2</v>
      </c>
      <c r="R81" s="753">
        <v>6.7844447922022752E-2</v>
      </c>
      <c r="S81" s="753">
        <v>6.0058756583648731E-2</v>
      </c>
      <c r="T81" s="753">
        <v>6.3498037528899404E-2</v>
      </c>
      <c r="U81" s="753">
        <v>6.6488501702394759E-2</v>
      </c>
      <c r="V81" s="753">
        <v>6.8588729678886629E-2</v>
      </c>
      <c r="W81" s="753">
        <v>6.5368960398410184E-2</v>
      </c>
      <c r="X81" s="753">
        <v>6.5911366133561231E-2</v>
      </c>
      <c r="Y81" s="753">
        <v>6.1969027391519674E-2</v>
      </c>
      <c r="Z81" s="753">
        <v>5.987441488754424E-2</v>
      </c>
      <c r="AA81" s="753">
        <v>5.876723746356264E-2</v>
      </c>
      <c r="AB81" s="753">
        <v>6.5160211430348156E-2</v>
      </c>
      <c r="AC81" s="1207">
        <v>7.4413065525411035E-2</v>
      </c>
      <c r="AD81" s="1095"/>
    </row>
    <row r="82" spans="1:30">
      <c r="A82" s="525"/>
      <c r="B82" s="746" t="s">
        <v>51</v>
      </c>
      <c r="C82" s="773"/>
      <c r="D82" s="773"/>
      <c r="E82" s="773"/>
      <c r="F82" s="773"/>
      <c r="G82" s="773"/>
      <c r="H82" s="773"/>
      <c r="I82" s="773"/>
      <c r="J82" s="773"/>
      <c r="K82" s="773"/>
      <c r="L82" s="773"/>
      <c r="M82" s="773"/>
      <c r="N82" s="754">
        <v>1.4367799430622314E-2</v>
      </c>
      <c r="O82" s="754">
        <v>1.2096207042055418E-2</v>
      </c>
      <c r="P82" s="754">
        <v>9.8640558208936968E-3</v>
      </c>
      <c r="Q82" s="754">
        <v>1.2151604047007367E-2</v>
      </c>
      <c r="R82" s="754">
        <v>1.2278956428427712E-2</v>
      </c>
      <c r="S82" s="754">
        <v>1.1925998464918085E-2</v>
      </c>
      <c r="T82" s="754">
        <v>1.1916574204869275E-2</v>
      </c>
      <c r="U82" s="754">
        <v>1.2901108934243814E-2</v>
      </c>
      <c r="V82" s="754">
        <v>1.1727048957855625E-2</v>
      </c>
      <c r="W82" s="754">
        <v>1.1071206244313557E-2</v>
      </c>
      <c r="X82" s="754">
        <v>1.2164570870467586E-2</v>
      </c>
      <c r="Y82" s="754">
        <v>1.4086250904796373E-2</v>
      </c>
      <c r="Z82" s="754">
        <v>1.5097613882863341E-2</v>
      </c>
      <c r="AA82" s="754">
        <v>1.4103078598864874E-2</v>
      </c>
      <c r="AB82" s="754">
        <v>1.397910906814343E-2</v>
      </c>
      <c r="AC82" s="1207">
        <v>1.2990619989647902E-2</v>
      </c>
      <c r="AD82" s="1095"/>
    </row>
    <row r="83" spans="1:30">
      <c r="A83" s="526"/>
      <c r="B83" s="526" t="s">
        <v>52</v>
      </c>
      <c r="C83" s="771"/>
      <c r="D83" s="771"/>
      <c r="E83" s="771"/>
      <c r="F83" s="771"/>
      <c r="G83" s="771"/>
      <c r="H83" s="771"/>
      <c r="I83" s="771"/>
      <c r="J83" s="771"/>
      <c r="K83" s="771"/>
      <c r="L83" s="771"/>
      <c r="M83" s="771"/>
      <c r="N83" s="550">
        <v>1</v>
      </c>
      <c r="O83" s="550">
        <v>1</v>
      </c>
      <c r="P83" s="550">
        <v>1</v>
      </c>
      <c r="Q83" s="550">
        <v>1.0000000000000002</v>
      </c>
      <c r="R83" s="550">
        <v>1</v>
      </c>
      <c r="S83" s="550">
        <v>1</v>
      </c>
      <c r="T83" s="550">
        <v>1</v>
      </c>
      <c r="U83" s="550">
        <v>0.99999999999999989</v>
      </c>
      <c r="V83" s="550">
        <v>0.99999999999999989</v>
      </c>
      <c r="W83" s="550">
        <v>1</v>
      </c>
      <c r="X83" s="550">
        <v>1</v>
      </c>
      <c r="Y83" s="550">
        <v>1</v>
      </c>
      <c r="Z83" s="550">
        <v>0.99999999999999989</v>
      </c>
      <c r="AA83" s="550">
        <v>1</v>
      </c>
      <c r="AB83" s="550">
        <v>1</v>
      </c>
      <c r="AC83" s="1208">
        <v>1</v>
      </c>
      <c r="AD83" s="1095"/>
    </row>
    <row r="84" spans="1:30">
      <c r="A84" s="534" t="s">
        <v>43</v>
      </c>
      <c r="B84" s="534" t="s">
        <v>55</v>
      </c>
      <c r="C84" s="772"/>
      <c r="D84" s="772"/>
      <c r="E84" s="772"/>
      <c r="F84" s="772"/>
      <c r="G84" s="772"/>
      <c r="H84" s="772"/>
      <c r="I84" s="772"/>
      <c r="J84" s="772"/>
      <c r="K84" s="772"/>
      <c r="L84" s="772"/>
      <c r="M84" s="772"/>
      <c r="N84" s="772"/>
      <c r="O84" s="772"/>
      <c r="P84" s="772"/>
      <c r="Q84" s="752">
        <v>7.0901407802605981E-2</v>
      </c>
      <c r="R84" s="752">
        <v>5.7367613200306984E-2</v>
      </c>
      <c r="S84" s="752">
        <v>4.8684313325990346E-2</v>
      </c>
      <c r="T84" s="752">
        <v>4.0341228597467568E-2</v>
      </c>
      <c r="U84" s="752">
        <v>3.7651223850623319E-2</v>
      </c>
      <c r="V84" s="752">
        <v>3.2095612525683749E-2</v>
      </c>
      <c r="W84" s="752">
        <v>2.7244615813337737E-2</v>
      </c>
      <c r="X84" s="752">
        <v>2.6648928701195864E-2</v>
      </c>
      <c r="Y84" s="752">
        <v>2.581708713737077E-2</v>
      </c>
      <c r="Z84" s="752">
        <v>2.9811638933332191E-2</v>
      </c>
      <c r="AA84" s="752">
        <v>2.706526160548078E-2</v>
      </c>
      <c r="AB84" s="752">
        <v>2.6832939912200763E-2</v>
      </c>
      <c r="AC84" s="1207">
        <v>2.5465827769090725E-2</v>
      </c>
      <c r="AD84" s="1095"/>
    </row>
    <row r="85" spans="1:30">
      <c r="A85" s="525"/>
      <c r="B85" s="545" t="s">
        <v>56</v>
      </c>
      <c r="C85" s="770"/>
      <c r="D85" s="770"/>
      <c r="E85" s="770"/>
      <c r="F85" s="770"/>
      <c r="G85" s="770"/>
      <c r="H85" s="770"/>
      <c r="I85" s="770"/>
      <c r="J85" s="770"/>
      <c r="K85" s="770"/>
      <c r="L85" s="770"/>
      <c r="M85" s="770"/>
      <c r="N85" s="770"/>
      <c r="O85" s="770"/>
      <c r="P85" s="770"/>
      <c r="Q85" s="753">
        <v>8.6615521873729798E-2</v>
      </c>
      <c r="R85" s="753">
        <v>7.4525276779404723E-2</v>
      </c>
      <c r="S85" s="753">
        <v>6.4766375040787277E-2</v>
      </c>
      <c r="T85" s="753">
        <v>4.9922679412848309E-2</v>
      </c>
      <c r="U85" s="753">
        <v>4.3590823732973343E-2</v>
      </c>
      <c r="V85" s="753">
        <v>3.6372909905396676E-2</v>
      </c>
      <c r="W85" s="753">
        <v>2.9291678838224495E-2</v>
      </c>
      <c r="X85" s="753">
        <v>2.9609277399872902E-2</v>
      </c>
      <c r="Y85" s="753">
        <v>2.9367017682207935E-2</v>
      </c>
      <c r="Z85" s="753">
        <v>3.4888527630882848E-2</v>
      </c>
      <c r="AA85" s="753">
        <v>3.19685484307278E-2</v>
      </c>
      <c r="AB85" s="753">
        <v>2.9646904796290258E-2</v>
      </c>
      <c r="AC85" s="1207">
        <v>2.7950283708441097E-2</v>
      </c>
      <c r="AD85" s="1095"/>
    </row>
    <row r="86" spans="1:30">
      <c r="A86" s="525"/>
      <c r="B86" s="545" t="s">
        <v>57</v>
      </c>
      <c r="C86" s="770"/>
      <c r="D86" s="770"/>
      <c r="E86" s="770"/>
      <c r="F86" s="770"/>
      <c r="G86" s="770"/>
      <c r="H86" s="770"/>
      <c r="I86" s="770"/>
      <c r="J86" s="770"/>
      <c r="K86" s="770"/>
      <c r="L86" s="770"/>
      <c r="M86" s="770"/>
      <c r="N86" s="770"/>
      <c r="O86" s="770"/>
      <c r="P86" s="770"/>
      <c r="Q86" s="753">
        <v>1.8349749601842644E-2</v>
      </c>
      <c r="R86" s="753">
        <v>1.5442277151736662E-2</v>
      </c>
      <c r="S86" s="753">
        <v>1.376427171913226E-2</v>
      </c>
      <c r="T86" s="753">
        <v>1.3168738244362141E-2</v>
      </c>
      <c r="U86" s="753">
        <v>1.242004488368059E-2</v>
      </c>
      <c r="V86" s="753">
        <v>1.1713786819425991E-2</v>
      </c>
      <c r="W86" s="753">
        <v>1.0283129735234063E-2</v>
      </c>
      <c r="X86" s="753">
        <v>9.5397055864458007E-3</v>
      </c>
      <c r="Y86" s="753">
        <v>8.998042804094936E-3</v>
      </c>
      <c r="Z86" s="753">
        <v>1.1436743080588379E-2</v>
      </c>
      <c r="AA86" s="753">
        <v>1.1171158173580761E-2</v>
      </c>
      <c r="AB86" s="753">
        <v>1.1156847325062134E-2</v>
      </c>
      <c r="AC86" s="1207">
        <v>1.1277935462196499E-2</v>
      </c>
      <c r="AD86" s="1095"/>
    </row>
    <row r="87" spans="1:30">
      <c r="A87" s="525"/>
      <c r="B87" s="545" t="s">
        <v>58</v>
      </c>
      <c r="C87" s="770"/>
      <c r="D87" s="770"/>
      <c r="E87" s="770"/>
      <c r="F87" s="770"/>
      <c r="G87" s="770"/>
      <c r="H87" s="770"/>
      <c r="I87" s="770"/>
      <c r="J87" s="770"/>
      <c r="K87" s="770"/>
      <c r="L87" s="770"/>
      <c r="M87" s="770"/>
      <c r="N87" s="770"/>
      <c r="O87" s="770"/>
      <c r="P87" s="770"/>
      <c r="Q87" s="753">
        <v>0.74919026425377766</v>
      </c>
      <c r="R87" s="753">
        <v>0.78993070066791793</v>
      </c>
      <c r="S87" s="753">
        <v>0.82005799836697679</v>
      </c>
      <c r="T87" s="753">
        <v>0.85432704426906592</v>
      </c>
      <c r="U87" s="753">
        <v>0.86312739919217996</v>
      </c>
      <c r="V87" s="753">
        <v>0.87873911843929919</v>
      </c>
      <c r="W87" s="753">
        <v>0.90024527401133958</v>
      </c>
      <c r="X87" s="753">
        <v>0.901646214445054</v>
      </c>
      <c r="Y87" s="753">
        <v>0.90389960583708706</v>
      </c>
      <c r="Z87" s="753">
        <v>0.88784366809670578</v>
      </c>
      <c r="AA87" s="753">
        <v>0.8982459444855222</v>
      </c>
      <c r="AB87" s="753">
        <v>0.90047191616377498</v>
      </c>
      <c r="AC87" s="1207">
        <v>0.9044858541019769</v>
      </c>
      <c r="AD87" s="1095"/>
    </row>
    <row r="88" spans="1:30">
      <c r="A88" s="525"/>
      <c r="B88" s="545" t="s">
        <v>59</v>
      </c>
      <c r="C88" s="770"/>
      <c r="D88" s="770"/>
      <c r="E88" s="770"/>
      <c r="F88" s="770"/>
      <c r="G88" s="770"/>
      <c r="H88" s="770"/>
      <c r="I88" s="770"/>
      <c r="J88" s="770"/>
      <c r="K88" s="770"/>
      <c r="L88" s="770"/>
      <c r="M88" s="770"/>
      <c r="N88" s="770"/>
      <c r="O88" s="770"/>
      <c r="P88" s="770"/>
      <c r="Q88" s="753">
        <v>6.4881115198490713E-2</v>
      </c>
      <c r="R88" s="753">
        <v>5.4058418121167448E-2</v>
      </c>
      <c r="S88" s="753">
        <v>4.5206862374133891E-2</v>
      </c>
      <c r="T88" s="753">
        <v>3.6347947489868339E-2</v>
      </c>
      <c r="U88" s="753">
        <v>3.659108122696425E-2</v>
      </c>
      <c r="V88" s="753">
        <v>3.3775493164310659E-2</v>
      </c>
      <c r="W88" s="753">
        <v>2.6817272729310282E-2</v>
      </c>
      <c r="X88" s="753">
        <v>2.6766184566522438E-2</v>
      </c>
      <c r="Y88" s="753">
        <v>2.520035641977118E-2</v>
      </c>
      <c r="Z88" s="753">
        <v>2.816527339591807E-2</v>
      </c>
      <c r="AA88" s="753">
        <v>2.5301253908235531E-2</v>
      </c>
      <c r="AB88" s="753">
        <v>2.6655096322484664E-2</v>
      </c>
      <c r="AC88" s="1207">
        <v>2.6610789566643693E-2</v>
      </c>
      <c r="AD88" s="1095"/>
    </row>
    <row r="89" spans="1:30">
      <c r="A89" s="525"/>
      <c r="B89" s="746" t="s">
        <v>51</v>
      </c>
      <c r="C89" s="773"/>
      <c r="D89" s="773"/>
      <c r="E89" s="773"/>
      <c r="F89" s="773"/>
      <c r="G89" s="773"/>
      <c r="H89" s="773"/>
      <c r="I89" s="773"/>
      <c r="J89" s="773"/>
      <c r="K89" s="773"/>
      <c r="L89" s="773"/>
      <c r="M89" s="773"/>
      <c r="N89" s="773"/>
      <c r="O89" s="773"/>
      <c r="P89" s="773"/>
      <c r="Q89" s="754">
        <v>1.0061941269553169E-2</v>
      </c>
      <c r="R89" s="754">
        <v>8.6757140794662731E-3</v>
      </c>
      <c r="S89" s="754">
        <v>7.5201791729794399E-3</v>
      </c>
      <c r="T89" s="754">
        <v>5.8923619863876986E-3</v>
      </c>
      <c r="U89" s="754">
        <v>6.6194271135785526E-3</v>
      </c>
      <c r="V89" s="754">
        <v>7.3030791458837023E-3</v>
      </c>
      <c r="W89" s="754">
        <v>6.1180288725538904E-3</v>
      </c>
      <c r="X89" s="754">
        <v>5.7896893009089503E-3</v>
      </c>
      <c r="Y89" s="754">
        <v>6.717890119468068E-3</v>
      </c>
      <c r="Z89" s="754">
        <v>7.8541488625727424E-3</v>
      </c>
      <c r="AA89" s="754">
        <v>6.2478333964528822E-3</v>
      </c>
      <c r="AB89" s="754">
        <v>5.2362954801871524E-3</v>
      </c>
      <c r="AC89" s="1207">
        <v>4.2093093916510419E-3</v>
      </c>
      <c r="AD89" s="1095"/>
    </row>
    <row r="90" spans="1:30">
      <c r="A90" s="526"/>
      <c r="B90" s="526" t="s">
        <v>52</v>
      </c>
      <c r="C90" s="771"/>
      <c r="D90" s="771"/>
      <c r="E90" s="771"/>
      <c r="F90" s="771"/>
      <c r="G90" s="771"/>
      <c r="H90" s="771"/>
      <c r="I90" s="771"/>
      <c r="J90" s="771"/>
      <c r="K90" s="771"/>
      <c r="L90" s="771"/>
      <c r="M90" s="771"/>
      <c r="N90" s="771"/>
      <c r="O90" s="771"/>
      <c r="P90" s="771"/>
      <c r="Q90" s="550">
        <v>1</v>
      </c>
      <c r="R90" s="550">
        <v>1</v>
      </c>
      <c r="S90" s="550">
        <v>1</v>
      </c>
      <c r="T90" s="550">
        <v>1</v>
      </c>
      <c r="U90" s="550">
        <v>1.0000000000000002</v>
      </c>
      <c r="V90" s="550">
        <v>0.99999999999999989</v>
      </c>
      <c r="W90" s="550">
        <v>1.0000000000000002</v>
      </c>
      <c r="X90" s="550">
        <v>1</v>
      </c>
      <c r="Y90" s="550">
        <v>1</v>
      </c>
      <c r="Z90" s="550">
        <v>1.0000000000000002</v>
      </c>
      <c r="AA90" s="550">
        <v>1</v>
      </c>
      <c r="AB90" s="550">
        <v>0.99999999999999989</v>
      </c>
      <c r="AC90" s="1208">
        <v>1</v>
      </c>
      <c r="AD90" s="1095"/>
    </row>
    <row r="91" spans="1:30">
      <c r="A91" s="534" t="s">
        <v>44</v>
      </c>
      <c r="B91" s="534" t="s">
        <v>55</v>
      </c>
      <c r="C91" s="752">
        <v>0.16037919949056623</v>
      </c>
      <c r="D91" s="752">
        <v>0.15446187580427118</v>
      </c>
      <c r="E91" s="752">
        <v>0.15071508539777939</v>
      </c>
      <c r="F91" s="752">
        <v>0.1652929267507319</v>
      </c>
      <c r="G91" s="752">
        <v>0.15122023749180538</v>
      </c>
      <c r="H91" s="752">
        <v>0.1549946708809585</v>
      </c>
      <c r="I91" s="752">
        <v>0.1573382768467162</v>
      </c>
      <c r="J91" s="752">
        <v>0.14531554340747749</v>
      </c>
      <c r="K91" s="752">
        <v>0.14696744298109221</v>
      </c>
      <c r="L91" s="752">
        <v>0.1381838749222615</v>
      </c>
      <c r="M91" s="752">
        <v>0.13843091131472626</v>
      </c>
      <c r="N91" s="752">
        <v>0.14193890659733335</v>
      </c>
      <c r="O91" s="752">
        <v>0.14203035699812266</v>
      </c>
      <c r="P91" s="752">
        <v>0.15413965023955037</v>
      </c>
      <c r="Q91" s="752">
        <v>0.16079114530849037</v>
      </c>
      <c r="R91" s="752">
        <v>0.15948544626297206</v>
      </c>
      <c r="S91" s="752">
        <v>0.15695034219761797</v>
      </c>
      <c r="T91" s="752">
        <v>0.15275046710006088</v>
      </c>
      <c r="U91" s="752">
        <v>0.15839440775947561</v>
      </c>
      <c r="V91" s="752">
        <v>0.15812931575643441</v>
      </c>
      <c r="W91" s="752">
        <v>0.16062360978316334</v>
      </c>
      <c r="X91" s="752">
        <v>0.1598056531280686</v>
      </c>
      <c r="Y91" s="752">
        <v>0.16026198167601957</v>
      </c>
      <c r="Z91" s="752">
        <v>0.1556931899918417</v>
      </c>
      <c r="AA91" s="752">
        <v>0.1553079080671495</v>
      </c>
      <c r="AB91" s="752">
        <v>0.14932887891754992</v>
      </c>
      <c r="AC91" s="1207">
        <v>0.15100111047548542</v>
      </c>
      <c r="AD91" s="1095"/>
    </row>
    <row r="92" spans="1:30">
      <c r="A92" s="525"/>
      <c r="B92" s="545" t="s">
        <v>56</v>
      </c>
      <c r="C92" s="753">
        <v>0.20047143165268119</v>
      </c>
      <c r="D92" s="753">
        <v>0.19396814040890656</v>
      </c>
      <c r="E92" s="753">
        <v>0.18574964014242784</v>
      </c>
      <c r="F92" s="753">
        <v>0.17699223130646552</v>
      </c>
      <c r="G92" s="753">
        <v>0.17243837986523658</v>
      </c>
      <c r="H92" s="753">
        <v>0.18546253078025654</v>
      </c>
      <c r="I92" s="753">
        <v>0.17563126971549881</v>
      </c>
      <c r="J92" s="753">
        <v>0.17623473824688049</v>
      </c>
      <c r="K92" s="753">
        <v>0.18157520948722905</v>
      </c>
      <c r="L92" s="753">
        <v>0.18425369753770476</v>
      </c>
      <c r="M92" s="753">
        <v>0.18038721309397207</v>
      </c>
      <c r="N92" s="753">
        <v>0.17273552352933438</v>
      </c>
      <c r="O92" s="753">
        <v>0.16960094282378352</v>
      </c>
      <c r="P92" s="753">
        <v>0.1739829690700706</v>
      </c>
      <c r="Q92" s="753">
        <v>0.17138421870729012</v>
      </c>
      <c r="R92" s="753">
        <v>0.16915616523227597</v>
      </c>
      <c r="S92" s="753">
        <v>0.1633816309424021</v>
      </c>
      <c r="T92" s="753">
        <v>0.14770333722874956</v>
      </c>
      <c r="U92" s="753">
        <v>0.14977660754454891</v>
      </c>
      <c r="V92" s="753">
        <v>0.14651770414482279</v>
      </c>
      <c r="W92" s="753">
        <v>0.14204940461151541</v>
      </c>
      <c r="X92" s="753">
        <v>0.14187684115487778</v>
      </c>
      <c r="Y92" s="753">
        <v>0.14288417643404155</v>
      </c>
      <c r="Z92" s="753">
        <v>0.1388278759616576</v>
      </c>
      <c r="AA92" s="753">
        <v>0.13401264286013312</v>
      </c>
      <c r="AB92" s="753">
        <v>0.12830509592153827</v>
      </c>
      <c r="AC92" s="1207">
        <v>0.12786956960662246</v>
      </c>
      <c r="AD92" s="1095"/>
    </row>
    <row r="93" spans="1:30">
      <c r="A93" s="525"/>
      <c r="B93" s="545" t="s">
        <v>57</v>
      </c>
      <c r="C93" s="770">
        <v>0</v>
      </c>
      <c r="D93" s="770">
        <v>0</v>
      </c>
      <c r="E93" s="770">
        <v>0</v>
      </c>
      <c r="F93" s="770">
        <v>0</v>
      </c>
      <c r="G93" s="770">
        <v>0</v>
      </c>
      <c r="H93" s="770">
        <v>0</v>
      </c>
      <c r="I93" s="770">
        <v>0</v>
      </c>
      <c r="J93" s="770">
        <v>0</v>
      </c>
      <c r="K93" s="770">
        <v>0</v>
      </c>
      <c r="L93" s="770">
        <v>0</v>
      </c>
      <c r="M93" s="770">
        <v>0</v>
      </c>
      <c r="N93" s="753">
        <v>5.0368954344366154E-2</v>
      </c>
      <c r="O93" s="753">
        <v>4.9042608888041864E-2</v>
      </c>
      <c r="P93" s="753">
        <v>5.0834617142663664E-2</v>
      </c>
      <c r="Q93" s="753">
        <v>5.3118357655448714E-2</v>
      </c>
      <c r="R93" s="753">
        <v>5.4189784384668239E-2</v>
      </c>
      <c r="S93" s="753">
        <v>5.4311321536803514E-2</v>
      </c>
      <c r="T93" s="753">
        <v>5.7799696297488504E-2</v>
      </c>
      <c r="U93" s="753">
        <v>6.3482849057190538E-2</v>
      </c>
      <c r="V93" s="753">
        <v>6.4819056344480069E-2</v>
      </c>
      <c r="W93" s="753">
        <v>6.1662464021559817E-2</v>
      </c>
      <c r="X93" s="753">
        <v>5.8595680741272846E-2</v>
      </c>
      <c r="Y93" s="753">
        <v>5.6872664914986576E-2</v>
      </c>
      <c r="Z93" s="753">
        <v>5.9888680238087195E-2</v>
      </c>
      <c r="AA93" s="753">
        <v>6.4158747435843766E-2</v>
      </c>
      <c r="AB93" s="753">
        <v>6.2711231112831861E-2</v>
      </c>
      <c r="AC93" s="1207">
        <v>7.0358717232560486E-2</v>
      </c>
      <c r="AD93" s="1095"/>
    </row>
    <row r="94" spans="1:30">
      <c r="A94" s="525"/>
      <c r="B94" s="545" t="s">
        <v>58</v>
      </c>
      <c r="C94" s="770">
        <v>0</v>
      </c>
      <c r="D94" s="770">
        <v>0</v>
      </c>
      <c r="E94" s="770">
        <v>0</v>
      </c>
      <c r="F94" s="770">
        <v>0</v>
      </c>
      <c r="G94" s="770">
        <v>0</v>
      </c>
      <c r="H94" s="770">
        <v>0</v>
      </c>
      <c r="I94" s="770">
        <v>0</v>
      </c>
      <c r="J94" s="770">
        <v>0</v>
      </c>
      <c r="K94" s="770">
        <v>0</v>
      </c>
      <c r="L94" s="770">
        <v>0</v>
      </c>
      <c r="M94" s="770">
        <v>0</v>
      </c>
      <c r="N94" s="770">
        <v>0</v>
      </c>
      <c r="O94" s="753">
        <v>1.2782009239848324E-2</v>
      </c>
      <c r="P94" s="753">
        <v>1.4677749750292032E-2</v>
      </c>
      <c r="Q94" s="753">
        <v>1.664946371673473E-2</v>
      </c>
      <c r="R94" s="753">
        <v>2.0939985940720676E-2</v>
      </c>
      <c r="S94" s="753">
        <v>2.4452161417794275E-2</v>
      </c>
      <c r="T94" s="753">
        <v>2.572024380173964E-2</v>
      </c>
      <c r="U94" s="753">
        <v>3.1167825957754119E-2</v>
      </c>
      <c r="V94" s="753">
        <v>3.6283741368487131E-2</v>
      </c>
      <c r="W94" s="753">
        <v>4.2977619469888748E-2</v>
      </c>
      <c r="X94" s="753">
        <v>4.8889870105905536E-2</v>
      </c>
      <c r="Y94" s="753">
        <v>5.4618590919062668E-2</v>
      </c>
      <c r="Z94" s="753">
        <v>6.4214027448576155E-2</v>
      </c>
      <c r="AA94" s="753">
        <v>7.0523715828693434E-2</v>
      </c>
      <c r="AB94" s="753">
        <v>7.5852997516370146E-2</v>
      </c>
      <c r="AC94" s="1207">
        <v>8.1852138506578728E-2</v>
      </c>
      <c r="AD94" s="1095"/>
    </row>
    <row r="95" spans="1:30">
      <c r="A95" s="525"/>
      <c r="B95" s="545" t="s">
        <v>59</v>
      </c>
      <c r="C95" s="753">
        <v>0.54893542721567745</v>
      </c>
      <c r="D95" s="753">
        <v>0.55954045629178151</v>
      </c>
      <c r="E95" s="753">
        <v>0.57131914105575055</v>
      </c>
      <c r="F95" s="753">
        <v>0.55452334864371711</v>
      </c>
      <c r="G95" s="753">
        <v>0.55317545602616869</v>
      </c>
      <c r="H95" s="753">
        <v>0.53508336702316639</v>
      </c>
      <c r="I95" s="753">
        <v>0.55089775598379409</v>
      </c>
      <c r="J95" s="753">
        <v>0.5517476003165509</v>
      </c>
      <c r="K95" s="753">
        <v>0.53099794645083387</v>
      </c>
      <c r="L95" s="753">
        <v>0.53199243473164537</v>
      </c>
      <c r="M95" s="753">
        <v>0.52066005113072145</v>
      </c>
      <c r="N95" s="753">
        <v>0.52909105258311884</v>
      </c>
      <c r="O95" s="753">
        <v>0.47995294643385228</v>
      </c>
      <c r="P95" s="753">
        <v>0.47778445546733483</v>
      </c>
      <c r="Q95" s="753">
        <v>0.49360295047590297</v>
      </c>
      <c r="R95" s="753">
        <v>0.491975487606785</v>
      </c>
      <c r="S95" s="753">
        <v>0.49516317714138336</v>
      </c>
      <c r="T95" s="753">
        <v>0.51361412986431354</v>
      </c>
      <c r="U95" s="753">
        <v>0.49256222335099048</v>
      </c>
      <c r="V95" s="753">
        <v>0.48919258241292141</v>
      </c>
      <c r="W95" s="753">
        <v>0.48768352513578095</v>
      </c>
      <c r="X95" s="753">
        <v>0.48422620420590617</v>
      </c>
      <c r="Y95" s="753">
        <v>0.4774333030222343</v>
      </c>
      <c r="Z95" s="753">
        <v>0.47147250073617797</v>
      </c>
      <c r="AA95" s="753">
        <v>0.4643479717000879</v>
      </c>
      <c r="AB95" s="753">
        <v>0.47676901566090085</v>
      </c>
      <c r="AC95" s="1207">
        <v>0.46031732678264964</v>
      </c>
      <c r="AD95" s="1095"/>
    </row>
    <row r="96" spans="1:30">
      <c r="A96" s="525"/>
      <c r="B96" s="746" t="s">
        <v>51</v>
      </c>
      <c r="C96" s="754">
        <v>9.0213941641075157E-2</v>
      </c>
      <c r="D96" s="754">
        <v>9.2029527495040814E-2</v>
      </c>
      <c r="E96" s="754">
        <v>9.2216133404042194E-2</v>
      </c>
      <c r="F96" s="754">
        <v>0.10319149329908545</v>
      </c>
      <c r="G96" s="754">
        <v>0.12316592661678934</v>
      </c>
      <c r="H96" s="754">
        <v>0.12445943131561861</v>
      </c>
      <c r="I96" s="754">
        <v>0.11613269745399094</v>
      </c>
      <c r="J96" s="754">
        <v>0.12670211802909115</v>
      </c>
      <c r="K96" s="754">
        <v>0.14045940108084484</v>
      </c>
      <c r="L96" s="754">
        <v>0.14556999280838834</v>
      </c>
      <c r="M96" s="754">
        <v>0.16052182446058028</v>
      </c>
      <c r="N96" s="754">
        <v>0.10586556294584723</v>
      </c>
      <c r="O96" s="754">
        <v>0.14659113561635134</v>
      </c>
      <c r="P96" s="754">
        <v>0.12858055833008855</v>
      </c>
      <c r="Q96" s="754">
        <v>0.10445386413613313</v>
      </c>
      <c r="R96" s="754">
        <v>0.10425313057257805</v>
      </c>
      <c r="S96" s="754">
        <v>0.10574136676399878</v>
      </c>
      <c r="T96" s="754">
        <v>0.10241212570764785</v>
      </c>
      <c r="U96" s="754">
        <v>0.10461608633004033</v>
      </c>
      <c r="V96" s="754">
        <v>0.10505759997285422</v>
      </c>
      <c r="W96" s="754">
        <v>0.10500337697809176</v>
      </c>
      <c r="X96" s="754">
        <v>0.10660575066396905</v>
      </c>
      <c r="Y96" s="754">
        <v>0.10792928303365537</v>
      </c>
      <c r="Z96" s="754">
        <v>0.1099037256236594</v>
      </c>
      <c r="AA96" s="754">
        <v>0.11164901410809226</v>
      </c>
      <c r="AB96" s="754">
        <v>0.10703278087080897</v>
      </c>
      <c r="AC96" s="1207">
        <v>0.10860113739610323</v>
      </c>
      <c r="AD96" s="1095"/>
    </row>
    <row r="97" spans="1:99">
      <c r="A97" s="526"/>
      <c r="B97" s="526" t="s">
        <v>52</v>
      </c>
      <c r="C97" s="550">
        <v>1</v>
      </c>
      <c r="D97" s="550">
        <v>1</v>
      </c>
      <c r="E97" s="550">
        <v>1</v>
      </c>
      <c r="F97" s="550">
        <v>1</v>
      </c>
      <c r="G97" s="550">
        <v>1</v>
      </c>
      <c r="H97" s="550">
        <v>1</v>
      </c>
      <c r="I97" s="550">
        <v>1</v>
      </c>
      <c r="J97" s="550">
        <v>1</v>
      </c>
      <c r="K97" s="550">
        <v>1</v>
      </c>
      <c r="L97" s="550">
        <v>1</v>
      </c>
      <c r="M97" s="550">
        <v>1</v>
      </c>
      <c r="N97" s="550">
        <v>1</v>
      </c>
      <c r="O97" s="550">
        <v>1</v>
      </c>
      <c r="P97" s="550">
        <v>1</v>
      </c>
      <c r="Q97" s="550">
        <v>1</v>
      </c>
      <c r="R97" s="550">
        <v>1</v>
      </c>
      <c r="S97" s="550">
        <v>1</v>
      </c>
      <c r="T97" s="550">
        <v>1</v>
      </c>
      <c r="U97" s="550">
        <v>1</v>
      </c>
      <c r="V97" s="550">
        <v>1</v>
      </c>
      <c r="W97" s="550">
        <v>1</v>
      </c>
      <c r="X97" s="550">
        <v>1</v>
      </c>
      <c r="Y97" s="550">
        <v>1</v>
      </c>
      <c r="Z97" s="550">
        <v>1</v>
      </c>
      <c r="AA97" s="550">
        <v>0.99999999999999989</v>
      </c>
      <c r="AB97" s="550">
        <v>1</v>
      </c>
      <c r="AC97" s="1208">
        <v>1</v>
      </c>
      <c r="AD97" s="1095"/>
    </row>
    <row r="98" spans="1:99">
      <c r="AC98" s="1086"/>
    </row>
    <row r="99" spans="1:99">
      <c r="AC99" s="1086"/>
    </row>
    <row r="100" spans="1:99">
      <c r="AC100" s="1086"/>
    </row>
    <row r="101" spans="1:99" s="1085" customFormat="1">
      <c r="AC101" s="1086"/>
    </row>
    <row r="102" spans="1:99" s="1098" customFormat="1">
      <c r="AC102" s="1086"/>
      <c r="AE102" s="1359" t="s">
        <v>36</v>
      </c>
      <c r="AF102" s="1360"/>
      <c r="AG102" s="1360"/>
      <c r="AH102" s="1360"/>
      <c r="AI102" s="1360"/>
      <c r="AJ102" s="1360"/>
      <c r="AK102" s="1360"/>
      <c r="AL102" s="1360"/>
      <c r="AM102" s="1360"/>
      <c r="AN102" s="1360"/>
      <c r="AO102" s="1360"/>
      <c r="AP102" s="1360"/>
      <c r="AQ102" s="1360"/>
      <c r="AR102" s="1360"/>
      <c r="AS102" s="1360" t="s">
        <v>38</v>
      </c>
      <c r="AT102" s="1360"/>
      <c r="AU102" s="1360"/>
      <c r="AV102" s="1360"/>
      <c r="AW102" s="1360"/>
      <c r="AX102" s="1360"/>
      <c r="AY102" s="1360"/>
      <c r="AZ102" s="1360"/>
      <c r="BA102" s="1360"/>
      <c r="BB102" s="1360"/>
      <c r="BC102" s="1360"/>
      <c r="BD102" s="1360"/>
      <c r="BE102" s="1360"/>
      <c r="BF102" s="1360"/>
      <c r="BG102" s="1360" t="s">
        <v>42</v>
      </c>
      <c r="BH102" s="1360"/>
      <c r="BI102" s="1360"/>
      <c r="BJ102" s="1360"/>
      <c r="BK102" s="1360"/>
      <c r="BL102" s="1360"/>
      <c r="BM102" s="1360"/>
      <c r="BN102" s="1360"/>
      <c r="BO102" s="1360"/>
      <c r="BP102" s="1360"/>
      <c r="BQ102" s="1360"/>
      <c r="BR102" s="1360"/>
      <c r="BS102" s="1360"/>
      <c r="BT102" s="1360"/>
      <c r="BU102" s="1360" t="s">
        <v>43</v>
      </c>
      <c r="BV102" s="1360"/>
      <c r="BW102" s="1360"/>
      <c r="BX102" s="1360"/>
      <c r="BY102" s="1360"/>
      <c r="BZ102" s="1360"/>
      <c r="CA102" s="1360"/>
      <c r="CB102" s="1360"/>
      <c r="CC102" s="1360"/>
      <c r="CD102" s="1360"/>
      <c r="CE102" s="1360"/>
      <c r="CF102" s="1360"/>
      <c r="CG102" s="1360"/>
      <c r="CH102" s="1360"/>
      <c r="CI102" s="1360" t="s">
        <v>44</v>
      </c>
      <c r="CJ102" s="1360"/>
      <c r="CK102" s="1360"/>
      <c r="CL102" s="1360"/>
      <c r="CM102" s="1360"/>
      <c r="CN102" s="1360"/>
      <c r="CO102" s="1360"/>
      <c r="CP102" s="1360"/>
      <c r="CQ102" s="1360"/>
      <c r="CR102" s="1360"/>
      <c r="CS102" s="1360"/>
      <c r="CT102" s="1360"/>
      <c r="CU102" s="1361"/>
    </row>
    <row r="103" spans="1:99" s="1098" customFormat="1">
      <c r="AC103" s="1086"/>
      <c r="AE103" s="1362">
        <f t="shared" ref="AE103:AP103" si="170">Q44</f>
        <v>2010</v>
      </c>
      <c r="AF103" s="1363">
        <f t="shared" si="170"/>
        <v>2011</v>
      </c>
      <c r="AG103" s="1363">
        <f t="shared" si="170"/>
        <v>2012</v>
      </c>
      <c r="AH103" s="1363">
        <f t="shared" si="170"/>
        <v>2013</v>
      </c>
      <c r="AI103" s="1363">
        <f t="shared" si="170"/>
        <v>2014</v>
      </c>
      <c r="AJ103" s="1363">
        <f t="shared" si="170"/>
        <v>2015</v>
      </c>
      <c r="AK103" s="1363">
        <f t="shared" si="170"/>
        <v>2016</v>
      </c>
      <c r="AL103" s="1363">
        <f t="shared" si="170"/>
        <v>2017</v>
      </c>
      <c r="AM103" s="1363">
        <f t="shared" si="170"/>
        <v>2018</v>
      </c>
      <c r="AN103" s="1363">
        <f t="shared" si="170"/>
        <v>2019</v>
      </c>
      <c r="AO103" s="1363">
        <f t="shared" si="170"/>
        <v>2020</v>
      </c>
      <c r="AP103" s="1363">
        <f t="shared" si="170"/>
        <v>2021</v>
      </c>
      <c r="AQ103" s="1363">
        <v>2022</v>
      </c>
      <c r="AR103" s="1363"/>
      <c r="AS103" s="1363">
        <f t="shared" ref="AS103:BD103" si="171">Q44</f>
        <v>2010</v>
      </c>
      <c r="AT103" s="1363">
        <f t="shared" si="171"/>
        <v>2011</v>
      </c>
      <c r="AU103" s="1363">
        <f t="shared" si="171"/>
        <v>2012</v>
      </c>
      <c r="AV103" s="1363">
        <f t="shared" si="171"/>
        <v>2013</v>
      </c>
      <c r="AW103" s="1363">
        <f t="shared" si="171"/>
        <v>2014</v>
      </c>
      <c r="AX103" s="1363">
        <f t="shared" si="171"/>
        <v>2015</v>
      </c>
      <c r="AY103" s="1363">
        <f t="shared" si="171"/>
        <v>2016</v>
      </c>
      <c r="AZ103" s="1363">
        <f t="shared" si="171"/>
        <v>2017</v>
      </c>
      <c r="BA103" s="1363">
        <f t="shared" si="171"/>
        <v>2018</v>
      </c>
      <c r="BB103" s="1363">
        <f t="shared" si="171"/>
        <v>2019</v>
      </c>
      <c r="BC103" s="1363">
        <f t="shared" si="171"/>
        <v>2020</v>
      </c>
      <c r="BD103" s="1363">
        <f t="shared" si="171"/>
        <v>2021</v>
      </c>
      <c r="BE103" s="1363">
        <v>2022</v>
      </c>
      <c r="BF103" s="1363"/>
      <c r="BG103" s="1363">
        <f t="shared" ref="BG103:BR103" si="172">AS103</f>
        <v>2010</v>
      </c>
      <c r="BH103" s="1363">
        <f t="shared" si="172"/>
        <v>2011</v>
      </c>
      <c r="BI103" s="1363">
        <f t="shared" si="172"/>
        <v>2012</v>
      </c>
      <c r="BJ103" s="1363">
        <f t="shared" si="172"/>
        <v>2013</v>
      </c>
      <c r="BK103" s="1363">
        <f t="shared" si="172"/>
        <v>2014</v>
      </c>
      <c r="BL103" s="1363">
        <f t="shared" si="172"/>
        <v>2015</v>
      </c>
      <c r="BM103" s="1363">
        <f t="shared" si="172"/>
        <v>2016</v>
      </c>
      <c r="BN103" s="1363">
        <f t="shared" si="172"/>
        <v>2017</v>
      </c>
      <c r="BO103" s="1363">
        <f t="shared" si="172"/>
        <v>2018</v>
      </c>
      <c r="BP103" s="1363">
        <f t="shared" si="172"/>
        <v>2019</v>
      </c>
      <c r="BQ103" s="1363">
        <f t="shared" si="172"/>
        <v>2020</v>
      </c>
      <c r="BR103" s="1363">
        <f t="shared" si="172"/>
        <v>2021</v>
      </c>
      <c r="BS103" s="1363">
        <v>2022</v>
      </c>
      <c r="BT103" s="1363"/>
      <c r="BU103" s="1363">
        <f t="shared" ref="BU103:CF103" si="173">BG103</f>
        <v>2010</v>
      </c>
      <c r="BV103" s="1363">
        <f t="shared" si="173"/>
        <v>2011</v>
      </c>
      <c r="BW103" s="1363">
        <f t="shared" si="173"/>
        <v>2012</v>
      </c>
      <c r="BX103" s="1363">
        <f t="shared" si="173"/>
        <v>2013</v>
      </c>
      <c r="BY103" s="1363">
        <f t="shared" si="173"/>
        <v>2014</v>
      </c>
      <c r="BZ103" s="1363">
        <f t="shared" si="173"/>
        <v>2015</v>
      </c>
      <c r="CA103" s="1363">
        <f t="shared" si="173"/>
        <v>2016</v>
      </c>
      <c r="CB103" s="1363">
        <f t="shared" si="173"/>
        <v>2017</v>
      </c>
      <c r="CC103" s="1363">
        <f t="shared" si="173"/>
        <v>2018</v>
      </c>
      <c r="CD103" s="1363">
        <f t="shared" si="173"/>
        <v>2019</v>
      </c>
      <c r="CE103" s="1363">
        <f t="shared" si="173"/>
        <v>2020</v>
      </c>
      <c r="CF103" s="1363">
        <f t="shared" si="173"/>
        <v>2021</v>
      </c>
      <c r="CG103" s="1363">
        <v>2022</v>
      </c>
      <c r="CH103" s="1363"/>
      <c r="CI103" s="1363">
        <f t="shared" ref="CI103:CT103" si="174">BU103</f>
        <v>2010</v>
      </c>
      <c r="CJ103" s="1363">
        <f t="shared" si="174"/>
        <v>2011</v>
      </c>
      <c r="CK103" s="1363">
        <f t="shared" si="174"/>
        <v>2012</v>
      </c>
      <c r="CL103" s="1363">
        <f t="shared" si="174"/>
        <v>2013</v>
      </c>
      <c r="CM103" s="1363">
        <f t="shared" si="174"/>
        <v>2014</v>
      </c>
      <c r="CN103" s="1363">
        <f t="shared" si="174"/>
        <v>2015</v>
      </c>
      <c r="CO103" s="1363">
        <f t="shared" si="174"/>
        <v>2016</v>
      </c>
      <c r="CP103" s="1363">
        <f t="shared" si="174"/>
        <v>2017</v>
      </c>
      <c r="CQ103" s="1363">
        <f t="shared" si="174"/>
        <v>2018</v>
      </c>
      <c r="CR103" s="1363">
        <f t="shared" si="174"/>
        <v>2019</v>
      </c>
      <c r="CS103" s="1363">
        <f t="shared" si="174"/>
        <v>2020</v>
      </c>
      <c r="CT103" s="1363">
        <f t="shared" si="174"/>
        <v>2021</v>
      </c>
      <c r="CU103" s="1364">
        <v>2022</v>
      </c>
    </row>
    <row r="104" spans="1:99" s="1098" customFormat="1">
      <c r="AC104" s="1086"/>
      <c r="AE104" s="1365">
        <f t="shared" ref="AE104:AQ106" si="175">Q45/1000</f>
        <v>74.408000000000001</v>
      </c>
      <c r="AF104" s="1366">
        <f t="shared" si="175"/>
        <v>71.903999999999996</v>
      </c>
      <c r="AG104" s="1366">
        <f t="shared" si="175"/>
        <v>72.965000000000003</v>
      </c>
      <c r="AH104" s="1366">
        <f t="shared" si="175"/>
        <v>73.42</v>
      </c>
      <c r="AI104" s="1366">
        <f t="shared" si="175"/>
        <v>75.180000000000007</v>
      </c>
      <c r="AJ104" s="1366">
        <f t="shared" si="175"/>
        <v>76.096999999999994</v>
      </c>
      <c r="AK104" s="1366">
        <f t="shared" si="175"/>
        <v>76.052000000000007</v>
      </c>
      <c r="AL104" s="1366">
        <f t="shared" si="175"/>
        <v>78.492999999999995</v>
      </c>
      <c r="AM104" s="1366">
        <f t="shared" si="175"/>
        <v>81.593999999999994</v>
      </c>
      <c r="AN104" s="1366">
        <f t="shared" si="175"/>
        <v>82.554000000000002</v>
      </c>
      <c r="AO104" s="1366">
        <f t="shared" si="175"/>
        <v>81.531000000000006</v>
      </c>
      <c r="AP104" s="1366">
        <f t="shared" si="175"/>
        <v>83.894000000000005</v>
      </c>
      <c r="AQ104" s="1366">
        <f t="shared" si="175"/>
        <v>83.954999999999998</v>
      </c>
      <c r="AR104" s="1366"/>
      <c r="AS104" s="1366">
        <f t="shared" ref="AS104:BE106" si="176">Q48/1000</f>
        <v>290.08100000000002</v>
      </c>
      <c r="AT104" s="1366">
        <f t="shared" si="176"/>
        <v>287.58</v>
      </c>
      <c r="AU104" s="1366">
        <f t="shared" si="176"/>
        <v>287.01299999999998</v>
      </c>
      <c r="AV104" s="1366">
        <f t="shared" si="176"/>
        <v>271.73099999999999</v>
      </c>
      <c r="AW104" s="1366">
        <f t="shared" si="176"/>
        <v>265.959</v>
      </c>
      <c r="AX104" s="1366">
        <f t="shared" si="176"/>
        <v>258.839</v>
      </c>
      <c r="AY104" s="1366">
        <f t="shared" si="176"/>
        <v>260.24400000000003</v>
      </c>
      <c r="AZ104" s="1366">
        <f t="shared" si="176"/>
        <v>260.29000000000002</v>
      </c>
      <c r="BA104" s="1366">
        <f t="shared" si="176"/>
        <v>253.63</v>
      </c>
      <c r="BB104" s="1366">
        <f t="shared" si="176"/>
        <v>245.37200000000001</v>
      </c>
      <c r="BC104" s="1366">
        <f t="shared" si="176"/>
        <v>227.34800000000001</v>
      </c>
      <c r="BD104" s="1366">
        <f t="shared" si="176"/>
        <v>222.452</v>
      </c>
      <c r="BE104" s="1366">
        <f t="shared" si="176"/>
        <v>218.81299999999999</v>
      </c>
      <c r="BF104" s="1366"/>
      <c r="BG104" s="1366">
        <f t="shared" ref="BG104:BS106" si="177">Q51/1000</f>
        <v>131.80500000000001</v>
      </c>
      <c r="BH104" s="1366">
        <f t="shared" si="177"/>
        <v>138.03399999999999</v>
      </c>
      <c r="BI104" s="1366">
        <f t="shared" si="177"/>
        <v>148.136</v>
      </c>
      <c r="BJ104" s="1366">
        <f t="shared" si="177"/>
        <v>159.97800000000001</v>
      </c>
      <c r="BK104" s="1366">
        <f t="shared" si="177"/>
        <v>164.07300000000001</v>
      </c>
      <c r="BL104" s="1366">
        <f t="shared" si="177"/>
        <v>167.273</v>
      </c>
      <c r="BM104" s="1366">
        <f t="shared" si="177"/>
        <v>163.423</v>
      </c>
      <c r="BN104" s="1366">
        <f t="shared" si="177"/>
        <v>159.03100000000001</v>
      </c>
      <c r="BO104" s="1366">
        <f t="shared" si="177"/>
        <v>162.57599999999999</v>
      </c>
      <c r="BP104" s="1366">
        <f t="shared" si="177"/>
        <v>171.60300000000001</v>
      </c>
      <c r="BQ104" s="1366">
        <f t="shared" si="177"/>
        <v>180.477</v>
      </c>
      <c r="BR104" s="1366">
        <f t="shared" si="177"/>
        <v>186.245</v>
      </c>
      <c r="BS104" s="1366">
        <f t="shared" si="177"/>
        <v>183.74799999999999</v>
      </c>
      <c r="BT104" s="1366"/>
      <c r="BU104" s="1366">
        <f t="shared" ref="BU104:CG106" si="178">Q54/1000</f>
        <v>293.06599999999997</v>
      </c>
      <c r="BV104" s="1366">
        <f t="shared" si="178"/>
        <v>415.82900000000001</v>
      </c>
      <c r="BW104" s="1366">
        <f t="shared" si="178"/>
        <v>535.31500000000005</v>
      </c>
      <c r="BX104" s="1366">
        <f t="shared" si="178"/>
        <v>704.93600000000004</v>
      </c>
      <c r="BY104" s="1366">
        <f t="shared" si="178"/>
        <v>801.13499999999999</v>
      </c>
      <c r="BZ104" s="1366">
        <f t="shared" si="178"/>
        <v>968.25099999999998</v>
      </c>
      <c r="CA104" s="1366">
        <f t="shared" si="178"/>
        <v>1204.981</v>
      </c>
      <c r="CB104" s="1366">
        <f t="shared" si="178"/>
        <v>1245.7090000000001</v>
      </c>
      <c r="CC104" s="1366">
        <f t="shared" si="178"/>
        <v>1393.8150000000001</v>
      </c>
      <c r="CD104" s="1366">
        <f t="shared" si="178"/>
        <v>1243.568</v>
      </c>
      <c r="CE104" s="1366">
        <f t="shared" si="178"/>
        <v>1344.817</v>
      </c>
      <c r="CF104" s="1366">
        <f t="shared" si="178"/>
        <v>1427.845</v>
      </c>
      <c r="CG104" s="1366">
        <f t="shared" si="178"/>
        <v>1464.605</v>
      </c>
      <c r="CH104" s="1366"/>
      <c r="CI104" s="1366">
        <f t="shared" ref="CI104:CU106" si="179">Q57/1000</f>
        <v>241.977</v>
      </c>
      <c r="CJ104" s="1366">
        <f t="shared" si="179"/>
        <v>247.75</v>
      </c>
      <c r="CK104" s="1366">
        <f t="shared" si="179"/>
        <v>268.78199999999998</v>
      </c>
      <c r="CL104" s="1366">
        <f t="shared" si="179"/>
        <v>293.58800000000002</v>
      </c>
      <c r="CM104" s="1366">
        <f t="shared" si="179"/>
        <v>285.096</v>
      </c>
      <c r="CN104" s="1366">
        <f t="shared" si="179"/>
        <v>288.33499999999998</v>
      </c>
      <c r="CO104" s="1366">
        <f t="shared" si="179"/>
        <v>295.327</v>
      </c>
      <c r="CP104" s="1366">
        <f t="shared" si="179"/>
        <v>293.904</v>
      </c>
      <c r="CQ104" s="1366">
        <f t="shared" si="179"/>
        <v>285.09500000000003</v>
      </c>
      <c r="CR104" s="1366">
        <f t="shared" si="179"/>
        <v>292.99799999999999</v>
      </c>
      <c r="CS104" s="1366">
        <f t="shared" si="179"/>
        <v>277.29700000000003</v>
      </c>
      <c r="CT104" s="1366">
        <f t="shared" si="179"/>
        <v>281.99599999999998</v>
      </c>
      <c r="CU104" s="1367">
        <f t="shared" si="179"/>
        <v>273.58499999999998</v>
      </c>
    </row>
    <row r="105" spans="1:99" s="1098" customFormat="1">
      <c r="AC105" s="1086"/>
      <c r="AE105" s="1365">
        <f t="shared" si="175"/>
        <v>76.552999999999997</v>
      </c>
      <c r="AF105" s="1366">
        <f t="shared" si="175"/>
        <v>70.906000000000006</v>
      </c>
      <c r="AG105" s="1366">
        <f t="shared" si="175"/>
        <v>75.528999999999996</v>
      </c>
      <c r="AH105" s="1366">
        <f t="shared" si="175"/>
        <v>74.448999999999998</v>
      </c>
      <c r="AI105" s="1366">
        <f t="shared" si="175"/>
        <v>76.801000000000002</v>
      </c>
      <c r="AJ105" s="1366">
        <f t="shared" si="175"/>
        <v>83.924999999999997</v>
      </c>
      <c r="AK105" s="1366">
        <f t="shared" si="175"/>
        <v>83.301000000000002</v>
      </c>
      <c r="AL105" s="1366">
        <f t="shared" si="175"/>
        <v>88.100999999999999</v>
      </c>
      <c r="AM105" s="1366">
        <f t="shared" si="175"/>
        <v>92.887</v>
      </c>
      <c r="AN105" s="1366">
        <f t="shared" si="175"/>
        <v>98.977999999999994</v>
      </c>
      <c r="AO105" s="1366">
        <f t="shared" si="175"/>
        <v>98.885999999999996</v>
      </c>
      <c r="AP105" s="1366">
        <f t="shared" si="175"/>
        <v>104.91500000000001</v>
      </c>
      <c r="AQ105" s="1366">
        <f t="shared" si="175"/>
        <v>109.505</v>
      </c>
      <c r="AR105" s="1366"/>
      <c r="AS105" s="1366">
        <f t="shared" si="176"/>
        <v>54.517000000000003</v>
      </c>
      <c r="AT105" s="1366">
        <f t="shared" si="176"/>
        <v>55.03</v>
      </c>
      <c r="AU105" s="1366">
        <f t="shared" si="176"/>
        <v>55.783000000000001</v>
      </c>
      <c r="AV105" s="1366">
        <f t="shared" si="176"/>
        <v>56.704999999999998</v>
      </c>
      <c r="AW105" s="1366">
        <f t="shared" si="176"/>
        <v>60.03</v>
      </c>
      <c r="AX105" s="1366">
        <f t="shared" si="176"/>
        <v>59.881999999999998</v>
      </c>
      <c r="AY105" s="1366">
        <f t="shared" si="176"/>
        <v>58.137</v>
      </c>
      <c r="AZ105" s="1366">
        <f t="shared" si="176"/>
        <v>58.189</v>
      </c>
      <c r="BA105" s="1366">
        <f t="shared" si="176"/>
        <v>59.936999999999998</v>
      </c>
      <c r="BB105" s="1366">
        <f t="shared" si="176"/>
        <v>62.597000000000001</v>
      </c>
      <c r="BC105" s="1366">
        <f t="shared" si="176"/>
        <v>61.124000000000002</v>
      </c>
      <c r="BD105" s="1366">
        <f t="shared" si="176"/>
        <v>66.748000000000005</v>
      </c>
      <c r="BE105" s="1366">
        <f t="shared" si="176"/>
        <v>70.716999999999999</v>
      </c>
      <c r="BF105" s="1366"/>
      <c r="BG105" s="1366">
        <f t="shared" si="177"/>
        <v>38.295999999999999</v>
      </c>
      <c r="BH105" s="1366">
        <f t="shared" si="177"/>
        <v>40.89</v>
      </c>
      <c r="BI105" s="1366">
        <f t="shared" si="177"/>
        <v>40.779000000000003</v>
      </c>
      <c r="BJ105" s="1366">
        <f t="shared" si="177"/>
        <v>44.610999999999997</v>
      </c>
      <c r="BK105" s="1366">
        <f t="shared" si="177"/>
        <v>46.219000000000001</v>
      </c>
      <c r="BL105" s="1366">
        <f t="shared" si="177"/>
        <v>46.420999999999999</v>
      </c>
      <c r="BM105" s="1366">
        <f t="shared" si="177"/>
        <v>45.406999999999996</v>
      </c>
      <c r="BN105" s="1366">
        <f t="shared" si="177"/>
        <v>45.744</v>
      </c>
      <c r="BO105" s="1366">
        <f t="shared" si="177"/>
        <v>47.415999999999997</v>
      </c>
      <c r="BP105" s="1366">
        <f t="shared" si="177"/>
        <v>47.372</v>
      </c>
      <c r="BQ105" s="1366">
        <f t="shared" si="177"/>
        <v>46.281999999999996</v>
      </c>
      <c r="BR105" s="1366">
        <f t="shared" si="177"/>
        <v>51.753</v>
      </c>
      <c r="BS105" s="1366">
        <f t="shared" si="177"/>
        <v>53.884999999999998</v>
      </c>
      <c r="BT105" s="1366"/>
      <c r="BU105" s="1366">
        <f t="shared" si="178"/>
        <v>98.111000000000004</v>
      </c>
      <c r="BV105" s="1366">
        <f t="shared" si="178"/>
        <v>110.583</v>
      </c>
      <c r="BW105" s="1366">
        <f t="shared" si="178"/>
        <v>117.462</v>
      </c>
      <c r="BX105" s="1366">
        <f t="shared" si="178"/>
        <v>120.2</v>
      </c>
      <c r="BY105" s="1366">
        <f t="shared" si="178"/>
        <v>127.042</v>
      </c>
      <c r="BZ105" s="1366">
        <f t="shared" si="178"/>
        <v>133.613</v>
      </c>
      <c r="CA105" s="1366">
        <f t="shared" si="178"/>
        <v>133.52199999999999</v>
      </c>
      <c r="CB105" s="1366">
        <f t="shared" si="178"/>
        <v>135.88499999999999</v>
      </c>
      <c r="CC105" s="1366">
        <f t="shared" si="178"/>
        <v>148.18700000000001</v>
      </c>
      <c r="CD105" s="1366">
        <f t="shared" si="178"/>
        <v>157.09299999999999</v>
      </c>
      <c r="CE105" s="1366">
        <f t="shared" si="178"/>
        <v>152.34200000000001</v>
      </c>
      <c r="CF105" s="1366">
        <f t="shared" si="178"/>
        <v>157.81800000000001</v>
      </c>
      <c r="CG105" s="1366">
        <f t="shared" si="178"/>
        <v>154.66300000000001</v>
      </c>
      <c r="CH105" s="1366"/>
      <c r="CI105" s="1366">
        <f t="shared" si="179"/>
        <v>248.249</v>
      </c>
      <c r="CJ105" s="1366">
        <f t="shared" si="179"/>
        <v>255.83199999999999</v>
      </c>
      <c r="CK105" s="1366">
        <f t="shared" si="179"/>
        <v>274.03300000000002</v>
      </c>
      <c r="CL105" s="1366">
        <f t="shared" si="179"/>
        <v>278.024</v>
      </c>
      <c r="CM105" s="1366">
        <f t="shared" si="179"/>
        <v>293.70600000000002</v>
      </c>
      <c r="CN105" s="1366">
        <f t="shared" si="179"/>
        <v>301.07499999999999</v>
      </c>
      <c r="CO105" s="1366">
        <f t="shared" si="179"/>
        <v>310.24400000000003</v>
      </c>
      <c r="CP105" s="1366">
        <f t="shared" si="179"/>
        <v>313.05200000000002</v>
      </c>
      <c r="CQ105" s="1366">
        <f t="shared" si="179"/>
        <v>312.04599999999999</v>
      </c>
      <c r="CR105" s="1366">
        <f t="shared" si="179"/>
        <v>328.45499999999998</v>
      </c>
      <c r="CS105" s="1366">
        <f t="shared" si="179"/>
        <v>319.87799999999999</v>
      </c>
      <c r="CT105" s="1366">
        <f t="shared" si="179"/>
        <v>309.47699999999998</v>
      </c>
      <c r="CU105" s="1367">
        <f t="shared" si="179"/>
        <v>320.755</v>
      </c>
    </row>
    <row r="106" spans="1:99" s="1098" customFormat="1">
      <c r="AC106" s="1086"/>
      <c r="AE106" s="1365">
        <f t="shared" si="175"/>
        <v>150.96100000000001</v>
      </c>
      <c r="AF106" s="1366">
        <f t="shared" si="175"/>
        <v>142.81</v>
      </c>
      <c r="AG106" s="1366">
        <f t="shared" si="175"/>
        <v>148.494</v>
      </c>
      <c r="AH106" s="1366">
        <f t="shared" si="175"/>
        <v>147.869</v>
      </c>
      <c r="AI106" s="1366">
        <f t="shared" si="175"/>
        <v>151.98099999999999</v>
      </c>
      <c r="AJ106" s="1366">
        <f t="shared" si="175"/>
        <v>160.02199999999999</v>
      </c>
      <c r="AK106" s="1366">
        <f t="shared" si="175"/>
        <v>159.35300000000001</v>
      </c>
      <c r="AL106" s="1366">
        <f t="shared" si="175"/>
        <v>166.59399999999999</v>
      </c>
      <c r="AM106" s="1366">
        <f t="shared" si="175"/>
        <v>174.48099999999999</v>
      </c>
      <c r="AN106" s="1366">
        <f t="shared" si="175"/>
        <v>181.53200000000001</v>
      </c>
      <c r="AO106" s="1366">
        <f t="shared" si="175"/>
        <v>180.417</v>
      </c>
      <c r="AP106" s="1366">
        <f t="shared" si="175"/>
        <v>188.809</v>
      </c>
      <c r="AQ106" s="1366">
        <f t="shared" si="175"/>
        <v>193.46</v>
      </c>
      <c r="AR106" s="1366"/>
      <c r="AS106" s="1366">
        <f t="shared" si="176"/>
        <v>344.59800000000001</v>
      </c>
      <c r="AT106" s="1366">
        <f t="shared" si="176"/>
        <v>342.61</v>
      </c>
      <c r="AU106" s="1366">
        <f t="shared" si="176"/>
        <v>342.79599999999999</v>
      </c>
      <c r="AV106" s="1366">
        <f t="shared" si="176"/>
        <v>328.43599999999998</v>
      </c>
      <c r="AW106" s="1366">
        <f t="shared" si="176"/>
        <v>325.98899999999998</v>
      </c>
      <c r="AX106" s="1366">
        <f t="shared" si="176"/>
        <v>318.721</v>
      </c>
      <c r="AY106" s="1366">
        <f t="shared" si="176"/>
        <v>318.38099999999997</v>
      </c>
      <c r="AZ106" s="1366">
        <f t="shared" si="176"/>
        <v>318.47899999999998</v>
      </c>
      <c r="BA106" s="1366">
        <f t="shared" si="176"/>
        <v>313.56700000000001</v>
      </c>
      <c r="BB106" s="1366">
        <f t="shared" si="176"/>
        <v>307.96899999999999</v>
      </c>
      <c r="BC106" s="1366">
        <f t="shared" si="176"/>
        <v>288.47199999999998</v>
      </c>
      <c r="BD106" s="1366">
        <f t="shared" si="176"/>
        <v>289.2</v>
      </c>
      <c r="BE106" s="1366">
        <f t="shared" si="176"/>
        <v>289.52999999999997</v>
      </c>
      <c r="BF106" s="1366"/>
      <c r="BG106" s="1366">
        <f t="shared" si="177"/>
        <v>170.101</v>
      </c>
      <c r="BH106" s="1366">
        <f t="shared" si="177"/>
        <v>178.92400000000001</v>
      </c>
      <c r="BI106" s="1366">
        <f t="shared" si="177"/>
        <v>188.91499999999999</v>
      </c>
      <c r="BJ106" s="1366">
        <f t="shared" si="177"/>
        <v>204.589</v>
      </c>
      <c r="BK106" s="1366">
        <f t="shared" si="177"/>
        <v>210.292</v>
      </c>
      <c r="BL106" s="1366">
        <f t="shared" si="177"/>
        <v>213.69399999999999</v>
      </c>
      <c r="BM106" s="1366">
        <f t="shared" si="177"/>
        <v>208.83</v>
      </c>
      <c r="BN106" s="1366">
        <f t="shared" si="177"/>
        <v>204.77500000000001</v>
      </c>
      <c r="BO106" s="1366">
        <f t="shared" si="177"/>
        <v>209.99199999999999</v>
      </c>
      <c r="BP106" s="1366">
        <f t="shared" si="177"/>
        <v>218.97499999999999</v>
      </c>
      <c r="BQ106" s="1366">
        <f t="shared" si="177"/>
        <v>226.75899999999999</v>
      </c>
      <c r="BR106" s="1366">
        <f t="shared" si="177"/>
        <v>237.99799999999999</v>
      </c>
      <c r="BS106" s="1366">
        <f t="shared" si="177"/>
        <v>237.63300000000001</v>
      </c>
      <c r="BT106" s="1366"/>
      <c r="BU106" s="1366">
        <f t="shared" si="178"/>
        <v>391.17700000000002</v>
      </c>
      <c r="BV106" s="1366">
        <f t="shared" si="178"/>
        <v>526.41200000000003</v>
      </c>
      <c r="BW106" s="1366">
        <f t="shared" si="178"/>
        <v>652.77700000000004</v>
      </c>
      <c r="BX106" s="1366">
        <f t="shared" si="178"/>
        <v>825.13599999999997</v>
      </c>
      <c r="BY106" s="1366">
        <f t="shared" si="178"/>
        <v>928.17700000000002</v>
      </c>
      <c r="BZ106" s="1366">
        <f t="shared" si="178"/>
        <v>1101.864</v>
      </c>
      <c r="CA106" s="1366">
        <f t="shared" si="178"/>
        <v>1338.5029999999999</v>
      </c>
      <c r="CB106" s="1366">
        <f t="shared" si="178"/>
        <v>1381.5940000000001</v>
      </c>
      <c r="CC106" s="1366">
        <f t="shared" si="178"/>
        <v>1542.002</v>
      </c>
      <c r="CD106" s="1366">
        <f t="shared" si="178"/>
        <v>1400.6610000000001</v>
      </c>
      <c r="CE106" s="1366">
        <f t="shared" si="178"/>
        <v>1497.1590000000001</v>
      </c>
      <c r="CF106" s="1366">
        <f t="shared" si="178"/>
        <v>1585.663</v>
      </c>
      <c r="CG106" s="1366">
        <f t="shared" si="178"/>
        <v>1619.268</v>
      </c>
      <c r="CH106" s="1366"/>
      <c r="CI106" s="1366">
        <f t="shared" si="179"/>
        <v>490.226</v>
      </c>
      <c r="CJ106" s="1366">
        <f t="shared" si="179"/>
        <v>503.58199999999999</v>
      </c>
      <c r="CK106" s="1366">
        <f t="shared" si="179"/>
        <v>542.81500000000005</v>
      </c>
      <c r="CL106" s="1366">
        <f t="shared" si="179"/>
        <v>571.61199999999997</v>
      </c>
      <c r="CM106" s="1366">
        <f t="shared" si="179"/>
        <v>578.80200000000002</v>
      </c>
      <c r="CN106" s="1366">
        <f t="shared" si="179"/>
        <v>589.41</v>
      </c>
      <c r="CO106" s="1366">
        <f t="shared" si="179"/>
        <v>605.57100000000003</v>
      </c>
      <c r="CP106" s="1366">
        <f t="shared" si="179"/>
        <v>606.95600000000002</v>
      </c>
      <c r="CQ106" s="1366">
        <f t="shared" si="179"/>
        <v>597.14099999999996</v>
      </c>
      <c r="CR106" s="1366">
        <f t="shared" si="179"/>
        <v>621.45299999999997</v>
      </c>
      <c r="CS106" s="1366">
        <f t="shared" si="179"/>
        <v>597.17499999999995</v>
      </c>
      <c r="CT106" s="1366">
        <f t="shared" si="179"/>
        <v>591.47299999999996</v>
      </c>
      <c r="CU106" s="1367">
        <f t="shared" si="179"/>
        <v>594.34</v>
      </c>
    </row>
    <row r="107" spans="1:99" s="1098" customFormat="1">
      <c r="AC107" s="1086"/>
      <c r="AE107" s="1362"/>
      <c r="AF107" s="1363"/>
      <c r="AG107" s="1363"/>
      <c r="AH107" s="1363"/>
      <c r="AI107" s="1363"/>
      <c r="AJ107" s="1363"/>
      <c r="AK107" s="1363"/>
      <c r="AL107" s="1363"/>
      <c r="AM107" s="1363"/>
      <c r="AN107" s="1363"/>
      <c r="AO107" s="1363"/>
      <c r="AP107" s="1363"/>
      <c r="AQ107" s="1363"/>
      <c r="AR107" s="1363"/>
      <c r="AS107" s="1363"/>
      <c r="AT107" s="1363"/>
      <c r="AU107" s="1363"/>
      <c r="AV107" s="1363"/>
      <c r="AW107" s="1363"/>
      <c r="AX107" s="1363"/>
      <c r="AY107" s="1363"/>
      <c r="AZ107" s="1363"/>
      <c r="BA107" s="1363"/>
      <c r="BB107" s="1363"/>
      <c r="BC107" s="1363"/>
      <c r="BD107" s="1363"/>
      <c r="BE107" s="1363"/>
      <c r="BF107" s="1363"/>
      <c r="BG107" s="1363"/>
      <c r="BH107" s="1363"/>
      <c r="BI107" s="1363"/>
      <c r="BJ107" s="1363"/>
      <c r="BK107" s="1363"/>
      <c r="BL107" s="1363"/>
      <c r="BM107" s="1363"/>
      <c r="BN107" s="1363"/>
      <c r="BO107" s="1363"/>
      <c r="BP107" s="1363"/>
      <c r="BQ107" s="1363"/>
      <c r="BR107" s="1363"/>
      <c r="BS107" s="1363"/>
      <c r="BT107" s="1363"/>
      <c r="BU107" s="1363"/>
      <c r="BV107" s="1363"/>
      <c r="BW107" s="1363"/>
      <c r="BX107" s="1363"/>
      <c r="BY107" s="1363"/>
      <c r="BZ107" s="1363"/>
      <c r="CA107" s="1363"/>
      <c r="CB107" s="1363"/>
      <c r="CC107" s="1363"/>
      <c r="CD107" s="1363"/>
      <c r="CE107" s="1363"/>
      <c r="CF107" s="1363"/>
      <c r="CG107" s="1363"/>
      <c r="CH107" s="1363"/>
      <c r="CI107" s="1363"/>
      <c r="CJ107" s="1363"/>
      <c r="CK107" s="1363"/>
      <c r="CL107" s="1363"/>
      <c r="CM107" s="1363"/>
      <c r="CN107" s="1363"/>
      <c r="CO107" s="1363"/>
      <c r="CP107" s="1363"/>
      <c r="CQ107" s="1363"/>
      <c r="CR107" s="1363"/>
      <c r="CS107" s="1363"/>
      <c r="CT107" s="1363"/>
      <c r="CU107" s="1364"/>
    </row>
    <row r="108" spans="1:99" s="1098" customFormat="1">
      <c r="AC108" s="1086"/>
      <c r="AE108" s="1362" t="s">
        <v>36</v>
      </c>
      <c r="AF108" s="1363"/>
      <c r="AG108" s="1363"/>
      <c r="AH108" s="1363"/>
      <c r="AI108" s="1363"/>
      <c r="AJ108" s="1363"/>
      <c r="AK108" s="1363"/>
      <c r="AL108" s="1363"/>
      <c r="AM108" s="1363"/>
      <c r="AN108" s="1363"/>
      <c r="AO108" s="1363"/>
      <c r="AP108" s="1363"/>
      <c r="AQ108" s="1363"/>
      <c r="AR108" s="1363"/>
      <c r="AS108" s="1363" t="s">
        <v>38</v>
      </c>
      <c r="AT108" s="1363"/>
      <c r="AU108" s="1363"/>
      <c r="AV108" s="1363"/>
      <c r="AW108" s="1363"/>
      <c r="AX108" s="1363"/>
      <c r="AY108" s="1363"/>
      <c r="AZ108" s="1363"/>
      <c r="BA108" s="1363"/>
      <c r="BB108" s="1363"/>
      <c r="BC108" s="1363"/>
      <c r="BD108" s="1363"/>
      <c r="BE108" s="1363"/>
      <c r="BF108" s="1363"/>
      <c r="BG108" s="1363" t="s">
        <v>42</v>
      </c>
      <c r="BH108" s="1363"/>
      <c r="BI108" s="1363"/>
      <c r="BJ108" s="1363"/>
      <c r="BK108" s="1363"/>
      <c r="BL108" s="1363"/>
      <c r="BM108" s="1363"/>
      <c r="BN108" s="1363"/>
      <c r="BO108" s="1363"/>
      <c r="BP108" s="1363"/>
      <c r="BQ108" s="1363"/>
      <c r="BR108" s="1363"/>
      <c r="BS108" s="1363"/>
      <c r="BT108" s="1363"/>
      <c r="BU108" s="1363" t="s">
        <v>43</v>
      </c>
      <c r="BV108" s="1363"/>
      <c r="BW108" s="1363"/>
      <c r="BX108" s="1363"/>
      <c r="BY108" s="1363"/>
      <c r="BZ108" s="1363"/>
      <c r="CA108" s="1363"/>
      <c r="CB108" s="1363"/>
      <c r="CC108" s="1363"/>
      <c r="CD108" s="1363"/>
      <c r="CE108" s="1363"/>
      <c r="CF108" s="1363"/>
      <c r="CG108" s="1363"/>
      <c r="CH108" s="1363"/>
      <c r="CI108" s="1363" t="s">
        <v>44</v>
      </c>
      <c r="CJ108" s="1363"/>
      <c r="CK108" s="1363"/>
      <c r="CL108" s="1363"/>
      <c r="CM108" s="1363"/>
      <c r="CN108" s="1363"/>
      <c r="CO108" s="1363"/>
      <c r="CP108" s="1363"/>
      <c r="CQ108" s="1363"/>
      <c r="CR108" s="1363"/>
      <c r="CS108" s="1363"/>
      <c r="CT108" s="1363"/>
      <c r="CU108" s="1364"/>
    </row>
    <row r="109" spans="1:99" s="1098" customFormat="1">
      <c r="AC109" s="1086"/>
      <c r="AE109" s="1362">
        <f t="shared" ref="AE109:AP115" si="180">Q62</f>
        <v>2010</v>
      </c>
      <c r="AF109" s="1363">
        <f t="shared" si="180"/>
        <v>2011</v>
      </c>
      <c r="AG109" s="1363">
        <f t="shared" si="180"/>
        <v>2012</v>
      </c>
      <c r="AH109" s="1363">
        <f t="shared" si="180"/>
        <v>2013</v>
      </c>
      <c r="AI109" s="1363">
        <f t="shared" si="180"/>
        <v>2014</v>
      </c>
      <c r="AJ109" s="1363">
        <f t="shared" si="180"/>
        <v>2015</v>
      </c>
      <c r="AK109" s="1363">
        <f t="shared" si="180"/>
        <v>2016</v>
      </c>
      <c r="AL109" s="1363">
        <f t="shared" si="180"/>
        <v>2017</v>
      </c>
      <c r="AM109" s="1363">
        <f t="shared" si="180"/>
        <v>2018</v>
      </c>
      <c r="AN109" s="1363">
        <f t="shared" si="180"/>
        <v>2019</v>
      </c>
      <c r="AO109" s="1363">
        <f t="shared" si="180"/>
        <v>2020</v>
      </c>
      <c r="AP109" s="1363">
        <f t="shared" si="180"/>
        <v>2021</v>
      </c>
      <c r="AQ109" s="1363">
        <v>2022</v>
      </c>
      <c r="AR109" s="1363"/>
      <c r="AS109" s="1363">
        <f t="shared" ref="AS109:BD109" si="181">Q62</f>
        <v>2010</v>
      </c>
      <c r="AT109" s="1363">
        <f t="shared" si="181"/>
        <v>2011</v>
      </c>
      <c r="AU109" s="1363">
        <f t="shared" si="181"/>
        <v>2012</v>
      </c>
      <c r="AV109" s="1363">
        <f t="shared" si="181"/>
        <v>2013</v>
      </c>
      <c r="AW109" s="1363">
        <f t="shared" si="181"/>
        <v>2014</v>
      </c>
      <c r="AX109" s="1363">
        <f t="shared" si="181"/>
        <v>2015</v>
      </c>
      <c r="AY109" s="1363">
        <f t="shared" si="181"/>
        <v>2016</v>
      </c>
      <c r="AZ109" s="1363">
        <f t="shared" si="181"/>
        <v>2017</v>
      </c>
      <c r="BA109" s="1363">
        <f t="shared" si="181"/>
        <v>2018</v>
      </c>
      <c r="BB109" s="1363">
        <f t="shared" si="181"/>
        <v>2019</v>
      </c>
      <c r="BC109" s="1363">
        <f t="shared" si="181"/>
        <v>2020</v>
      </c>
      <c r="BD109" s="1363">
        <f t="shared" si="181"/>
        <v>2021</v>
      </c>
      <c r="BE109" s="1363">
        <v>2022</v>
      </c>
      <c r="BF109" s="1363"/>
      <c r="BG109" s="1363">
        <f t="shared" ref="BG109:BR109" si="182">AS109</f>
        <v>2010</v>
      </c>
      <c r="BH109" s="1363">
        <f t="shared" si="182"/>
        <v>2011</v>
      </c>
      <c r="BI109" s="1363">
        <f t="shared" si="182"/>
        <v>2012</v>
      </c>
      <c r="BJ109" s="1363">
        <f t="shared" si="182"/>
        <v>2013</v>
      </c>
      <c r="BK109" s="1363">
        <f t="shared" si="182"/>
        <v>2014</v>
      </c>
      <c r="BL109" s="1363">
        <f t="shared" si="182"/>
        <v>2015</v>
      </c>
      <c r="BM109" s="1363">
        <f t="shared" si="182"/>
        <v>2016</v>
      </c>
      <c r="BN109" s="1363">
        <f t="shared" si="182"/>
        <v>2017</v>
      </c>
      <c r="BO109" s="1363">
        <f t="shared" si="182"/>
        <v>2018</v>
      </c>
      <c r="BP109" s="1363">
        <f t="shared" si="182"/>
        <v>2019</v>
      </c>
      <c r="BQ109" s="1363">
        <f t="shared" si="182"/>
        <v>2020</v>
      </c>
      <c r="BR109" s="1363">
        <f t="shared" si="182"/>
        <v>2021</v>
      </c>
      <c r="BS109" s="1363">
        <v>2022</v>
      </c>
      <c r="BT109" s="1363"/>
      <c r="BU109" s="1363">
        <f t="shared" ref="BU109:CF109" si="183">BG109</f>
        <v>2010</v>
      </c>
      <c r="BV109" s="1363">
        <f t="shared" si="183"/>
        <v>2011</v>
      </c>
      <c r="BW109" s="1363">
        <f t="shared" si="183"/>
        <v>2012</v>
      </c>
      <c r="BX109" s="1363">
        <f t="shared" si="183"/>
        <v>2013</v>
      </c>
      <c r="BY109" s="1363">
        <f t="shared" si="183"/>
        <v>2014</v>
      </c>
      <c r="BZ109" s="1363">
        <f t="shared" si="183"/>
        <v>2015</v>
      </c>
      <c r="CA109" s="1363">
        <f t="shared" si="183"/>
        <v>2016</v>
      </c>
      <c r="CB109" s="1363">
        <f t="shared" si="183"/>
        <v>2017</v>
      </c>
      <c r="CC109" s="1363">
        <f t="shared" si="183"/>
        <v>2018</v>
      </c>
      <c r="CD109" s="1363">
        <f t="shared" si="183"/>
        <v>2019</v>
      </c>
      <c r="CE109" s="1363">
        <f t="shared" si="183"/>
        <v>2020</v>
      </c>
      <c r="CF109" s="1363">
        <f t="shared" si="183"/>
        <v>2021</v>
      </c>
      <c r="CG109" s="1363">
        <v>2022</v>
      </c>
      <c r="CH109" s="1363"/>
      <c r="CI109" s="1363">
        <f t="shared" ref="CI109:CT109" si="184">BU109</f>
        <v>2010</v>
      </c>
      <c r="CJ109" s="1363">
        <f t="shared" si="184"/>
        <v>2011</v>
      </c>
      <c r="CK109" s="1363">
        <f t="shared" si="184"/>
        <v>2012</v>
      </c>
      <c r="CL109" s="1363">
        <f t="shared" si="184"/>
        <v>2013</v>
      </c>
      <c r="CM109" s="1363">
        <f t="shared" si="184"/>
        <v>2014</v>
      </c>
      <c r="CN109" s="1363">
        <f t="shared" si="184"/>
        <v>2015</v>
      </c>
      <c r="CO109" s="1363">
        <f t="shared" si="184"/>
        <v>2016</v>
      </c>
      <c r="CP109" s="1363">
        <f t="shared" si="184"/>
        <v>2017</v>
      </c>
      <c r="CQ109" s="1363">
        <f t="shared" si="184"/>
        <v>2018</v>
      </c>
      <c r="CR109" s="1363">
        <f t="shared" si="184"/>
        <v>2019</v>
      </c>
      <c r="CS109" s="1363">
        <f t="shared" si="184"/>
        <v>2020</v>
      </c>
      <c r="CT109" s="1363">
        <f t="shared" si="184"/>
        <v>2021</v>
      </c>
      <c r="CU109" s="1364">
        <v>2022</v>
      </c>
    </row>
    <row r="110" spans="1:99" s="1098" customFormat="1">
      <c r="AC110" s="1086"/>
      <c r="AE110" s="1368">
        <f t="shared" si="180"/>
        <v>0.49289551606043946</v>
      </c>
      <c r="AF110" s="1369">
        <f t="shared" si="180"/>
        <v>0.50349415307051326</v>
      </c>
      <c r="AG110" s="1369">
        <f t="shared" si="180"/>
        <v>0.49136665454496475</v>
      </c>
      <c r="AH110" s="1369">
        <f t="shared" si="180"/>
        <v>0.49652056888191576</v>
      </c>
      <c r="AI110" s="1369">
        <f t="shared" si="180"/>
        <v>0.49466709654496288</v>
      </c>
      <c r="AJ110" s="1369">
        <f t="shared" si="180"/>
        <v>0.47554086313131944</v>
      </c>
      <c r="AK110" s="1369">
        <f t="shared" si="180"/>
        <v>0.4772548994998525</v>
      </c>
      <c r="AL110" s="1369">
        <f t="shared" si="180"/>
        <v>0.47116342725428284</v>
      </c>
      <c r="AM110" s="1369">
        <f t="shared" si="180"/>
        <v>0.46763831018850188</v>
      </c>
      <c r="AN110" s="1369">
        <f t="shared" si="180"/>
        <v>0.45476279664191438</v>
      </c>
      <c r="AO110" s="1369">
        <f t="shared" si="180"/>
        <v>0.45190309117211791</v>
      </c>
      <c r="AP110" s="1369">
        <f t="shared" si="180"/>
        <v>0.44419406150583246</v>
      </c>
      <c r="AQ110" s="1369">
        <f t="shared" ref="AQ110:AQ115" si="185">AC63</f>
        <v>0.43396567765946448</v>
      </c>
      <c r="AR110" s="1369"/>
      <c r="AS110" s="1369">
        <f t="shared" ref="AS110:BE115" si="186">Q70</f>
        <v>6.1297511883411974E-2</v>
      </c>
      <c r="AT110" s="1369">
        <f t="shared" si="186"/>
        <v>6.1361314614284464E-2</v>
      </c>
      <c r="AU110" s="1369">
        <f t="shared" si="186"/>
        <v>6.0966288988202895E-2</v>
      </c>
      <c r="AV110" s="1369">
        <f t="shared" si="186"/>
        <v>6.2733683274671478E-2</v>
      </c>
      <c r="AW110" s="1369">
        <f t="shared" si="186"/>
        <v>6.4879489798735535E-2</v>
      </c>
      <c r="AX110" s="1369">
        <f t="shared" si="186"/>
        <v>6.5210638771841203E-2</v>
      </c>
      <c r="AY110" s="1369">
        <f t="shared" si="186"/>
        <v>6.4601844959341168E-2</v>
      </c>
      <c r="AZ110" s="1369">
        <f t="shared" si="186"/>
        <v>6.4553706837813488E-2</v>
      </c>
      <c r="BA110" s="1369">
        <f t="shared" si="186"/>
        <v>6.6601396192839168E-2</v>
      </c>
      <c r="BB110" s="1369">
        <f t="shared" si="186"/>
        <v>6.6220950809984122E-2</v>
      </c>
      <c r="BC110" s="1369">
        <f t="shared" si="186"/>
        <v>6.680717712637621E-2</v>
      </c>
      <c r="BD110" s="1369">
        <f t="shared" si="186"/>
        <v>7.2251037344398333E-2</v>
      </c>
      <c r="BE110" s="1369">
        <f t="shared" si="186"/>
        <v>7.4572583152004976E-2</v>
      </c>
      <c r="BF110" s="1363"/>
      <c r="BG110" s="1369">
        <f t="shared" ref="BG110:BS115" si="187">Q77</f>
        <v>5.7906773034844004E-2</v>
      </c>
      <c r="BH110" s="1369">
        <f t="shared" si="187"/>
        <v>5.9064183675750601E-2</v>
      </c>
      <c r="BI110" s="1369">
        <f t="shared" si="187"/>
        <v>5.3960776010375036E-2</v>
      </c>
      <c r="BJ110" s="1369">
        <f t="shared" si="187"/>
        <v>5.7363787886934289E-2</v>
      </c>
      <c r="BK110" s="1369">
        <f t="shared" si="187"/>
        <v>5.8485344188081337E-2</v>
      </c>
      <c r="BL110" s="1369">
        <f t="shared" si="187"/>
        <v>5.6267372972568251E-2</v>
      </c>
      <c r="BM110" s="1369">
        <f t="shared" si="187"/>
        <v>5.6706411913997029E-2</v>
      </c>
      <c r="BN110" s="1369">
        <f t="shared" si="187"/>
        <v>5.7121230618972042E-2</v>
      </c>
      <c r="BO110" s="1369">
        <f t="shared" si="187"/>
        <v>6.0492780677359137E-2</v>
      </c>
      <c r="BP110" s="1369">
        <f t="shared" si="187"/>
        <v>5.590592533394223E-2</v>
      </c>
      <c r="BQ110" s="1369">
        <f t="shared" si="187"/>
        <v>5.0494136947155349E-2</v>
      </c>
      <c r="BR110" s="1369">
        <f t="shared" si="187"/>
        <v>5.2323969108984111E-2</v>
      </c>
      <c r="BS110" s="1369">
        <f t="shared" si="187"/>
        <v>5.4428467426662124E-2</v>
      </c>
      <c r="BT110" s="1363"/>
      <c r="BU110" s="1369">
        <f t="shared" ref="BU110:CG115" si="188">Q84</f>
        <v>7.0901407802605981E-2</v>
      </c>
      <c r="BV110" s="1369">
        <f t="shared" si="188"/>
        <v>5.7367613200306984E-2</v>
      </c>
      <c r="BW110" s="1369">
        <f t="shared" si="188"/>
        <v>4.8684313325990346E-2</v>
      </c>
      <c r="BX110" s="1369">
        <f t="shared" si="188"/>
        <v>4.0341228597467568E-2</v>
      </c>
      <c r="BY110" s="1369">
        <f t="shared" si="188"/>
        <v>3.7651223850623319E-2</v>
      </c>
      <c r="BZ110" s="1369">
        <f t="shared" si="188"/>
        <v>3.2095612525683749E-2</v>
      </c>
      <c r="CA110" s="1369">
        <f t="shared" si="188"/>
        <v>2.7244615813337737E-2</v>
      </c>
      <c r="CB110" s="1369">
        <f t="shared" si="188"/>
        <v>2.6648928701195864E-2</v>
      </c>
      <c r="CC110" s="1369">
        <f t="shared" si="188"/>
        <v>2.581708713737077E-2</v>
      </c>
      <c r="CD110" s="1369">
        <f t="shared" si="188"/>
        <v>2.9811638933332191E-2</v>
      </c>
      <c r="CE110" s="1369">
        <f t="shared" si="188"/>
        <v>2.706526160548078E-2</v>
      </c>
      <c r="CF110" s="1369">
        <f t="shared" si="188"/>
        <v>2.6832939912200763E-2</v>
      </c>
      <c r="CG110" s="1369">
        <f t="shared" si="188"/>
        <v>2.5465827769090725E-2</v>
      </c>
      <c r="CH110" s="1363"/>
      <c r="CI110" s="1369">
        <f t="shared" ref="CI110:CU115" si="189">Q91</f>
        <v>0.16079114530849037</v>
      </c>
      <c r="CJ110" s="1369">
        <f t="shared" si="189"/>
        <v>0.15948544626297206</v>
      </c>
      <c r="CK110" s="1369">
        <f t="shared" si="189"/>
        <v>0.15695034219761797</v>
      </c>
      <c r="CL110" s="1369">
        <f t="shared" si="189"/>
        <v>0.15275046710006088</v>
      </c>
      <c r="CM110" s="1369">
        <f t="shared" si="189"/>
        <v>0.15839440775947561</v>
      </c>
      <c r="CN110" s="1369">
        <f t="shared" si="189"/>
        <v>0.15812931575643441</v>
      </c>
      <c r="CO110" s="1369">
        <f t="shared" si="189"/>
        <v>0.16062360978316334</v>
      </c>
      <c r="CP110" s="1369">
        <f t="shared" si="189"/>
        <v>0.1598056531280686</v>
      </c>
      <c r="CQ110" s="1369">
        <f t="shared" si="189"/>
        <v>0.16026198167601957</v>
      </c>
      <c r="CR110" s="1369">
        <f t="shared" si="189"/>
        <v>0.1556931899918417</v>
      </c>
      <c r="CS110" s="1369">
        <f t="shared" si="189"/>
        <v>0.1553079080671495</v>
      </c>
      <c r="CT110" s="1369">
        <f t="shared" si="189"/>
        <v>0.14932887891754992</v>
      </c>
      <c r="CU110" s="1370">
        <f t="shared" si="189"/>
        <v>0.15100111047548542</v>
      </c>
    </row>
    <row r="111" spans="1:99" s="1098" customFormat="1">
      <c r="AC111" s="1086"/>
      <c r="AE111" s="1368">
        <f t="shared" si="180"/>
        <v>0.14456713985731415</v>
      </c>
      <c r="AF111" s="1369">
        <f t="shared" si="180"/>
        <v>0.14402352776416216</v>
      </c>
      <c r="AG111" s="1369">
        <f t="shared" si="180"/>
        <v>0.1528681293520277</v>
      </c>
      <c r="AH111" s="1369">
        <f t="shared" si="180"/>
        <v>0.15253366155177894</v>
      </c>
      <c r="AI111" s="1369">
        <f t="shared" si="180"/>
        <v>0.14487337232943592</v>
      </c>
      <c r="AJ111" s="1369">
        <f t="shared" si="180"/>
        <v>0.13389408956268514</v>
      </c>
      <c r="AK111" s="1369">
        <f t="shared" si="180"/>
        <v>0.13183310009852339</v>
      </c>
      <c r="AL111" s="1369">
        <f t="shared" si="180"/>
        <v>0.13070098562973456</v>
      </c>
      <c r="AM111" s="1369">
        <f t="shared" si="180"/>
        <v>0.12947541566130411</v>
      </c>
      <c r="AN111" s="1369">
        <f t="shared" si="180"/>
        <v>0.12166449992287862</v>
      </c>
      <c r="AO111" s="1369">
        <f t="shared" si="180"/>
        <v>0.12168476363092169</v>
      </c>
      <c r="AP111" s="1369">
        <f t="shared" si="180"/>
        <v>0.1149575821845175</v>
      </c>
      <c r="AQ111" s="1369">
        <f t="shared" si="185"/>
        <v>0.11152693063165513</v>
      </c>
      <c r="AR111" s="1369"/>
      <c r="AS111" s="1369">
        <f t="shared" si="186"/>
        <v>0.84179536735558536</v>
      </c>
      <c r="AT111" s="1369">
        <f t="shared" si="186"/>
        <v>0.83938005312162522</v>
      </c>
      <c r="AU111" s="1369">
        <f t="shared" si="186"/>
        <v>0.83727056325044635</v>
      </c>
      <c r="AV111" s="1369">
        <f t="shared" si="186"/>
        <v>0.82734840273295251</v>
      </c>
      <c r="AW111" s="1369">
        <f t="shared" si="186"/>
        <v>0.8158526821457166</v>
      </c>
      <c r="AX111" s="1369">
        <f t="shared" si="186"/>
        <v>0.81211780836531011</v>
      </c>
      <c r="AY111" s="1369">
        <f t="shared" si="186"/>
        <v>0.81739802312323917</v>
      </c>
      <c r="AZ111" s="1369">
        <f t="shared" si="186"/>
        <v>0.81729093598008029</v>
      </c>
      <c r="BA111" s="1369">
        <f t="shared" si="186"/>
        <v>0.80885424805543948</v>
      </c>
      <c r="BB111" s="1369">
        <f t="shared" si="186"/>
        <v>0.79674252928054445</v>
      </c>
      <c r="BC111" s="1369">
        <f t="shared" si="186"/>
        <v>0.78811115116891761</v>
      </c>
      <c r="BD111" s="1369">
        <f t="shared" si="186"/>
        <v>0.76919778699861685</v>
      </c>
      <c r="BE111" s="1369">
        <f t="shared" si="186"/>
        <v>0.75575242634614725</v>
      </c>
      <c r="BF111" s="1363"/>
      <c r="BG111" s="1369">
        <f t="shared" si="187"/>
        <v>8.4338128523641837E-2</v>
      </c>
      <c r="BH111" s="1369">
        <f t="shared" si="187"/>
        <v>8.5142295052648045E-2</v>
      </c>
      <c r="BI111" s="1369">
        <f t="shared" si="187"/>
        <v>8.4715348172458516E-2</v>
      </c>
      <c r="BJ111" s="1369">
        <f t="shared" si="187"/>
        <v>7.9667039772421788E-2</v>
      </c>
      <c r="BK111" s="1369">
        <f t="shared" si="187"/>
        <v>7.4434595705019688E-2</v>
      </c>
      <c r="BL111" s="1369">
        <f t="shared" si="187"/>
        <v>7.1518152124065246E-2</v>
      </c>
      <c r="BM111" s="1369">
        <f t="shared" si="187"/>
        <v>7.0741751664032945E-2</v>
      </c>
      <c r="BN111" s="1369">
        <f t="shared" si="187"/>
        <v>7.3465999267488702E-2</v>
      </c>
      <c r="BO111" s="1369">
        <f t="shared" si="187"/>
        <v>7.4298068497847536E-2</v>
      </c>
      <c r="BP111" s="1369">
        <f t="shared" si="187"/>
        <v>6.8455303116794153E-2</v>
      </c>
      <c r="BQ111" s="1369">
        <f t="shared" si="187"/>
        <v>6.1854215268192222E-2</v>
      </c>
      <c r="BR111" s="1369">
        <f t="shared" si="187"/>
        <v>5.9517306868124939E-2</v>
      </c>
      <c r="BS111" s="1369">
        <f t="shared" si="187"/>
        <v>5.8329440776323155E-2</v>
      </c>
      <c r="BT111" s="1363"/>
      <c r="BU111" s="1369">
        <f t="shared" si="188"/>
        <v>8.6615521873729798E-2</v>
      </c>
      <c r="BV111" s="1369">
        <f t="shared" si="188"/>
        <v>7.4525276779404723E-2</v>
      </c>
      <c r="BW111" s="1369">
        <f t="shared" si="188"/>
        <v>6.4766375040787277E-2</v>
      </c>
      <c r="BX111" s="1369">
        <f t="shared" si="188"/>
        <v>4.9922679412848309E-2</v>
      </c>
      <c r="BY111" s="1369">
        <f t="shared" si="188"/>
        <v>4.3590823732973343E-2</v>
      </c>
      <c r="BZ111" s="1369">
        <f t="shared" si="188"/>
        <v>3.6372909905396676E-2</v>
      </c>
      <c r="CA111" s="1369">
        <f t="shared" si="188"/>
        <v>2.9291678838224495E-2</v>
      </c>
      <c r="CB111" s="1369">
        <f t="shared" si="188"/>
        <v>2.9609277399872902E-2</v>
      </c>
      <c r="CC111" s="1369">
        <f t="shared" si="188"/>
        <v>2.9367017682207935E-2</v>
      </c>
      <c r="CD111" s="1369">
        <f t="shared" si="188"/>
        <v>3.4888527630882848E-2</v>
      </c>
      <c r="CE111" s="1369">
        <f t="shared" si="188"/>
        <v>3.19685484307278E-2</v>
      </c>
      <c r="CF111" s="1369">
        <f t="shared" si="188"/>
        <v>2.9646904796290258E-2</v>
      </c>
      <c r="CG111" s="1369">
        <f t="shared" si="188"/>
        <v>2.7950283708441097E-2</v>
      </c>
      <c r="CH111" s="1363"/>
      <c r="CI111" s="1369">
        <f t="shared" si="189"/>
        <v>0.17138421870729012</v>
      </c>
      <c r="CJ111" s="1369">
        <f t="shared" si="189"/>
        <v>0.16915616523227597</v>
      </c>
      <c r="CK111" s="1369">
        <f t="shared" si="189"/>
        <v>0.1633816309424021</v>
      </c>
      <c r="CL111" s="1369">
        <f t="shared" si="189"/>
        <v>0.14770333722874956</v>
      </c>
      <c r="CM111" s="1369">
        <f t="shared" si="189"/>
        <v>0.14977660754454891</v>
      </c>
      <c r="CN111" s="1369">
        <f t="shared" si="189"/>
        <v>0.14651770414482279</v>
      </c>
      <c r="CO111" s="1369">
        <f t="shared" si="189"/>
        <v>0.14204940461151541</v>
      </c>
      <c r="CP111" s="1369">
        <f t="shared" si="189"/>
        <v>0.14187684115487778</v>
      </c>
      <c r="CQ111" s="1369">
        <f t="shared" si="189"/>
        <v>0.14288417643404155</v>
      </c>
      <c r="CR111" s="1369">
        <f t="shared" si="189"/>
        <v>0.1388278759616576</v>
      </c>
      <c r="CS111" s="1369">
        <f t="shared" si="189"/>
        <v>0.13401264286013312</v>
      </c>
      <c r="CT111" s="1369">
        <f t="shared" si="189"/>
        <v>0.12830509592153827</v>
      </c>
      <c r="CU111" s="1370">
        <f t="shared" si="189"/>
        <v>0.12786956960662246</v>
      </c>
    </row>
    <row r="112" spans="1:99" s="1098" customFormat="1">
      <c r="AC112" s="1086"/>
      <c r="AE112" s="1368">
        <f t="shared" si="180"/>
        <v>3.1233232424268519E-2</v>
      </c>
      <c r="AF112" s="1369">
        <f t="shared" si="180"/>
        <v>3.4234297318114976E-2</v>
      </c>
      <c r="AG112" s="1369">
        <f t="shared" si="180"/>
        <v>3.8459466375745821E-2</v>
      </c>
      <c r="AH112" s="1369">
        <f t="shared" si="180"/>
        <v>4.284873773407543E-2</v>
      </c>
      <c r="AI112" s="1369">
        <f t="shared" si="180"/>
        <v>4.0406366585296845E-2</v>
      </c>
      <c r="AJ112" s="1369">
        <f t="shared" si="180"/>
        <v>4.0063241304320658E-2</v>
      </c>
      <c r="AK112" s="1369">
        <f t="shared" si="180"/>
        <v>4.282316617823323E-2</v>
      </c>
      <c r="AL112" s="1369">
        <f t="shared" si="180"/>
        <v>3.8758898879911644E-2</v>
      </c>
      <c r="AM112" s="1369">
        <f t="shared" si="180"/>
        <v>4.162630888176936E-2</v>
      </c>
      <c r="AN112" s="1369">
        <f t="shared" si="180"/>
        <v>4.5936804530330742E-2</v>
      </c>
      <c r="AO112" s="1369">
        <f t="shared" si="180"/>
        <v>5.0350022447995475E-2</v>
      </c>
      <c r="AP112" s="1369">
        <f t="shared" si="180"/>
        <v>4.9809119830328735E-2</v>
      </c>
      <c r="AQ112" s="1369">
        <f t="shared" si="185"/>
        <v>5.3587304869223612E-2</v>
      </c>
      <c r="AR112" s="1369"/>
      <c r="AS112" s="1369">
        <f t="shared" si="186"/>
        <v>1.4138213222363449E-2</v>
      </c>
      <c r="AT112" s="1369">
        <f t="shared" si="186"/>
        <v>1.4614284463384022E-2</v>
      </c>
      <c r="AU112" s="1369">
        <f t="shared" si="186"/>
        <v>1.6651302815668793E-2</v>
      </c>
      <c r="AV112" s="1369">
        <f t="shared" si="186"/>
        <v>1.867639357439501E-2</v>
      </c>
      <c r="AW112" s="1369">
        <f t="shared" si="186"/>
        <v>1.7430035982809237E-2</v>
      </c>
      <c r="AX112" s="1369">
        <f t="shared" si="186"/>
        <v>1.6384235742232234E-2</v>
      </c>
      <c r="AY112" s="1369">
        <f t="shared" si="186"/>
        <v>1.6382887169774579E-2</v>
      </c>
      <c r="AZ112" s="1369">
        <f t="shared" si="186"/>
        <v>1.3099764819658438E-2</v>
      </c>
      <c r="BA112" s="1369">
        <f t="shared" si="186"/>
        <v>1.6168793272251226E-2</v>
      </c>
      <c r="BB112" s="1369">
        <f t="shared" si="186"/>
        <v>1.8294049076368075E-2</v>
      </c>
      <c r="BC112" s="1369">
        <f t="shared" si="186"/>
        <v>2.0386727308022962E-2</v>
      </c>
      <c r="BD112" s="1369">
        <f t="shared" si="186"/>
        <v>2.0525587828492394E-2</v>
      </c>
      <c r="BE112" s="1369">
        <f t="shared" si="186"/>
        <v>2.4691741788415707E-2</v>
      </c>
      <c r="BF112" s="1363"/>
      <c r="BG112" s="1369">
        <f t="shared" si="187"/>
        <v>0.77486316952869183</v>
      </c>
      <c r="BH112" s="1369">
        <f t="shared" si="187"/>
        <v>0.77146721513044647</v>
      </c>
      <c r="BI112" s="1369">
        <f t="shared" si="187"/>
        <v>0.7841410158007569</v>
      </c>
      <c r="BJ112" s="1369">
        <f t="shared" si="187"/>
        <v>0.78194819858350151</v>
      </c>
      <c r="BK112" s="1369">
        <f t="shared" si="187"/>
        <v>0.78021512943906568</v>
      </c>
      <c r="BL112" s="1369">
        <f t="shared" si="187"/>
        <v>0.7827688189654366</v>
      </c>
      <c r="BM112" s="1369">
        <f t="shared" si="187"/>
        <v>0.78256476559881238</v>
      </c>
      <c r="BN112" s="1369">
        <f t="shared" si="187"/>
        <v>0.77661335612257354</v>
      </c>
      <c r="BO112" s="1369">
        <f t="shared" si="187"/>
        <v>0.77420092193988344</v>
      </c>
      <c r="BP112" s="1369">
        <f t="shared" si="187"/>
        <v>0.78366480191802712</v>
      </c>
      <c r="BQ112" s="1369">
        <f t="shared" si="187"/>
        <v>0.79589784749447656</v>
      </c>
      <c r="BR112" s="1369">
        <f t="shared" si="187"/>
        <v>0.78254859284531808</v>
      </c>
      <c r="BS112" s="1369">
        <f t="shared" si="187"/>
        <v>0.77324277352051274</v>
      </c>
      <c r="BT112" s="1363"/>
      <c r="BU112" s="1369">
        <f t="shared" si="188"/>
        <v>1.8349749601842644E-2</v>
      </c>
      <c r="BV112" s="1369">
        <f t="shared" si="188"/>
        <v>1.5442277151736662E-2</v>
      </c>
      <c r="BW112" s="1369">
        <f t="shared" si="188"/>
        <v>1.376427171913226E-2</v>
      </c>
      <c r="BX112" s="1369">
        <f t="shared" si="188"/>
        <v>1.3168738244362141E-2</v>
      </c>
      <c r="BY112" s="1369">
        <f t="shared" si="188"/>
        <v>1.242004488368059E-2</v>
      </c>
      <c r="BZ112" s="1369">
        <f t="shared" si="188"/>
        <v>1.1713786819425991E-2</v>
      </c>
      <c r="CA112" s="1369">
        <f t="shared" si="188"/>
        <v>1.0283129735234063E-2</v>
      </c>
      <c r="CB112" s="1369">
        <f t="shared" si="188"/>
        <v>9.5397055864458007E-3</v>
      </c>
      <c r="CC112" s="1369">
        <f t="shared" si="188"/>
        <v>8.998042804094936E-3</v>
      </c>
      <c r="CD112" s="1369">
        <f t="shared" si="188"/>
        <v>1.1436743080588379E-2</v>
      </c>
      <c r="CE112" s="1369">
        <f t="shared" si="188"/>
        <v>1.1171158173580761E-2</v>
      </c>
      <c r="CF112" s="1369">
        <f t="shared" si="188"/>
        <v>1.1156847325062134E-2</v>
      </c>
      <c r="CG112" s="1369">
        <f t="shared" si="188"/>
        <v>1.1277935462196499E-2</v>
      </c>
      <c r="CH112" s="1363"/>
      <c r="CI112" s="1369">
        <f t="shared" si="189"/>
        <v>5.3118357655448714E-2</v>
      </c>
      <c r="CJ112" s="1369">
        <f t="shared" si="189"/>
        <v>5.4189784384668239E-2</v>
      </c>
      <c r="CK112" s="1369">
        <f t="shared" si="189"/>
        <v>5.4311321536803514E-2</v>
      </c>
      <c r="CL112" s="1369">
        <f t="shared" si="189"/>
        <v>5.7799696297488504E-2</v>
      </c>
      <c r="CM112" s="1369">
        <f t="shared" si="189"/>
        <v>6.3482849057190538E-2</v>
      </c>
      <c r="CN112" s="1369">
        <f t="shared" si="189"/>
        <v>6.4819056344480069E-2</v>
      </c>
      <c r="CO112" s="1369">
        <f t="shared" si="189"/>
        <v>6.1662464021559817E-2</v>
      </c>
      <c r="CP112" s="1369">
        <f t="shared" si="189"/>
        <v>5.8595680741272846E-2</v>
      </c>
      <c r="CQ112" s="1369">
        <f t="shared" si="189"/>
        <v>5.6872664914986576E-2</v>
      </c>
      <c r="CR112" s="1369">
        <f t="shared" si="189"/>
        <v>5.9888680238087195E-2</v>
      </c>
      <c r="CS112" s="1369">
        <f t="shared" si="189"/>
        <v>6.4158747435843766E-2</v>
      </c>
      <c r="CT112" s="1369">
        <f t="shared" si="189"/>
        <v>6.2711231112831861E-2</v>
      </c>
      <c r="CU112" s="1370">
        <f t="shared" si="189"/>
        <v>7.0358717232560486E-2</v>
      </c>
    </row>
    <row r="113" spans="29:105" s="1098" customFormat="1">
      <c r="AC113" s="1086"/>
      <c r="AE113" s="1368">
        <f t="shared" si="180"/>
        <v>1.3573042043971622E-2</v>
      </c>
      <c r="AF113" s="1369">
        <f t="shared" si="180"/>
        <v>1.7841887822981583E-2</v>
      </c>
      <c r="AG113" s="1369">
        <f t="shared" si="180"/>
        <v>2.5125594300106403E-2</v>
      </c>
      <c r="AH113" s="1369">
        <f t="shared" si="180"/>
        <v>2.7429684382798289E-2</v>
      </c>
      <c r="AI113" s="1369">
        <f t="shared" si="180"/>
        <v>3.0424855738546266E-2</v>
      </c>
      <c r="AJ113" s="1369">
        <f t="shared" si="180"/>
        <v>3.5751334191548662E-2</v>
      </c>
      <c r="AK113" s="1369">
        <f t="shared" si="180"/>
        <v>4.4868938771155858E-2</v>
      </c>
      <c r="AL113" s="1369">
        <f t="shared" si="180"/>
        <v>5.1868614716016184E-2</v>
      </c>
      <c r="AM113" s="1369">
        <f t="shared" si="180"/>
        <v>5.4332563430975291E-2</v>
      </c>
      <c r="AN113" s="1369">
        <f t="shared" si="180"/>
        <v>6.7354516008196905E-2</v>
      </c>
      <c r="AO113" s="1369">
        <f t="shared" si="180"/>
        <v>7.4471917834793844E-2</v>
      </c>
      <c r="AP113" s="1369">
        <f t="shared" si="180"/>
        <v>8.8361611876988336E-2</v>
      </c>
      <c r="AQ113" s="1369">
        <f t="shared" si="185"/>
        <v>9.8423446707329679E-2</v>
      </c>
      <c r="AR113" s="1369"/>
      <c r="AS113" s="1369">
        <f t="shared" si="186"/>
        <v>3.0847538290994145E-3</v>
      </c>
      <c r="AT113" s="1369">
        <f t="shared" si="186"/>
        <v>4.0891976299582619E-3</v>
      </c>
      <c r="AU113" s="1369">
        <f t="shared" si="186"/>
        <v>5.8985519084236689E-3</v>
      </c>
      <c r="AV113" s="1369">
        <f t="shared" si="186"/>
        <v>6.2843293670608582E-3</v>
      </c>
      <c r="AW113" s="1369">
        <f t="shared" si="186"/>
        <v>7.7640656586571936E-3</v>
      </c>
      <c r="AX113" s="1369">
        <f t="shared" si="186"/>
        <v>8.9106146127804573E-3</v>
      </c>
      <c r="AY113" s="1369">
        <f t="shared" si="186"/>
        <v>1.1966794500928133E-2</v>
      </c>
      <c r="AZ113" s="1369">
        <f t="shared" si="186"/>
        <v>1.4867542286932576E-2</v>
      </c>
      <c r="BA113" s="1369">
        <f t="shared" si="186"/>
        <v>1.6982016602512383E-2</v>
      </c>
      <c r="BB113" s="1369">
        <f t="shared" si="186"/>
        <v>2.5804545262672542E-2</v>
      </c>
      <c r="BC113" s="1369">
        <f t="shared" si="186"/>
        <v>2.9139743198646661E-2</v>
      </c>
      <c r="BD113" s="1369">
        <f t="shared" si="186"/>
        <v>3.2396265560165977E-2</v>
      </c>
      <c r="BE113" s="1369">
        <f t="shared" si="186"/>
        <v>3.3993023175491313E-2</v>
      </c>
      <c r="BF113" s="1363"/>
      <c r="BG113" s="1369">
        <f t="shared" si="187"/>
        <v>3.0393707268034872E-3</v>
      </c>
      <c r="BH113" s="1369">
        <f t="shared" si="187"/>
        <v>4.2029017907044336E-3</v>
      </c>
      <c r="BI113" s="1369">
        <f t="shared" si="187"/>
        <v>5.1981049678426804E-3</v>
      </c>
      <c r="BJ113" s="1369">
        <f t="shared" si="187"/>
        <v>5.6063620233736903E-3</v>
      </c>
      <c r="BK113" s="1369">
        <f t="shared" si="187"/>
        <v>7.4753200311947201E-3</v>
      </c>
      <c r="BL113" s="1369">
        <f t="shared" si="187"/>
        <v>9.1298773011876787E-3</v>
      </c>
      <c r="BM113" s="1369">
        <f t="shared" si="187"/>
        <v>1.3546904180433845E-2</v>
      </c>
      <c r="BN113" s="1369">
        <f t="shared" si="187"/>
        <v>1.4723476986936882E-2</v>
      </c>
      <c r="BO113" s="1369">
        <f t="shared" si="187"/>
        <v>1.4952950588593852E-2</v>
      </c>
      <c r="BP113" s="1369">
        <f t="shared" si="187"/>
        <v>1.7001940860828863E-2</v>
      </c>
      <c r="BQ113" s="1369">
        <f t="shared" si="187"/>
        <v>1.8883484227748402E-2</v>
      </c>
      <c r="BR113" s="1369">
        <f t="shared" si="187"/>
        <v>2.6470810679081337E-2</v>
      </c>
      <c r="BS113" s="1369">
        <f t="shared" si="187"/>
        <v>2.6595632761443066E-2</v>
      </c>
      <c r="BT113" s="1363"/>
      <c r="BU113" s="1369">
        <f t="shared" si="188"/>
        <v>0.74919026425377766</v>
      </c>
      <c r="BV113" s="1369">
        <f t="shared" si="188"/>
        <v>0.78993070066791793</v>
      </c>
      <c r="BW113" s="1369">
        <f t="shared" si="188"/>
        <v>0.82005799836697679</v>
      </c>
      <c r="BX113" s="1369">
        <f t="shared" si="188"/>
        <v>0.85432704426906592</v>
      </c>
      <c r="BY113" s="1369">
        <f t="shared" si="188"/>
        <v>0.86312739919217996</v>
      </c>
      <c r="BZ113" s="1369">
        <f t="shared" si="188"/>
        <v>0.87873911843929919</v>
      </c>
      <c r="CA113" s="1369">
        <f t="shared" si="188"/>
        <v>0.90024527401133958</v>
      </c>
      <c r="CB113" s="1369">
        <f t="shared" si="188"/>
        <v>0.901646214445054</v>
      </c>
      <c r="CC113" s="1369">
        <f t="shared" si="188"/>
        <v>0.90389960583708706</v>
      </c>
      <c r="CD113" s="1369">
        <f t="shared" si="188"/>
        <v>0.88784366809670578</v>
      </c>
      <c r="CE113" s="1369">
        <f t="shared" si="188"/>
        <v>0.8982459444855222</v>
      </c>
      <c r="CF113" s="1369">
        <f t="shared" si="188"/>
        <v>0.90047191616377498</v>
      </c>
      <c r="CG113" s="1369">
        <f t="shared" si="188"/>
        <v>0.9044858541019769</v>
      </c>
      <c r="CH113" s="1363"/>
      <c r="CI113" s="1369">
        <f t="shared" si="189"/>
        <v>1.664946371673473E-2</v>
      </c>
      <c r="CJ113" s="1369">
        <f t="shared" si="189"/>
        <v>2.0939985940720676E-2</v>
      </c>
      <c r="CK113" s="1369">
        <f t="shared" si="189"/>
        <v>2.4452161417794275E-2</v>
      </c>
      <c r="CL113" s="1369">
        <f t="shared" si="189"/>
        <v>2.572024380173964E-2</v>
      </c>
      <c r="CM113" s="1369">
        <f t="shared" si="189"/>
        <v>3.1167825957754119E-2</v>
      </c>
      <c r="CN113" s="1369">
        <f t="shared" si="189"/>
        <v>3.6283741368487131E-2</v>
      </c>
      <c r="CO113" s="1369">
        <f t="shared" si="189"/>
        <v>4.2977619469888748E-2</v>
      </c>
      <c r="CP113" s="1369">
        <f t="shared" si="189"/>
        <v>4.8889870105905536E-2</v>
      </c>
      <c r="CQ113" s="1369">
        <f t="shared" si="189"/>
        <v>5.4618590919062668E-2</v>
      </c>
      <c r="CR113" s="1369">
        <f t="shared" si="189"/>
        <v>6.4214027448576155E-2</v>
      </c>
      <c r="CS113" s="1369">
        <f t="shared" si="189"/>
        <v>7.0523715828693434E-2</v>
      </c>
      <c r="CT113" s="1369">
        <f t="shared" si="189"/>
        <v>7.5852997516370146E-2</v>
      </c>
      <c r="CU113" s="1370">
        <f t="shared" si="189"/>
        <v>8.1852138506578728E-2</v>
      </c>
    </row>
    <row r="114" spans="29:105" s="1098" customFormat="1">
      <c r="AC114" s="1086"/>
      <c r="AE114" s="1368">
        <f t="shared" si="180"/>
        <v>0.26178284457575135</v>
      </c>
      <c r="AF114" s="1369">
        <f t="shared" si="180"/>
        <v>0.24503186051396961</v>
      </c>
      <c r="AG114" s="1369">
        <f t="shared" si="180"/>
        <v>0.23719476881220791</v>
      </c>
      <c r="AH114" s="1369">
        <f t="shared" si="180"/>
        <v>0.22881063644171531</v>
      </c>
      <c r="AI114" s="1369">
        <f t="shared" si="180"/>
        <v>0.24010238121870497</v>
      </c>
      <c r="AJ114" s="1369">
        <f t="shared" si="180"/>
        <v>0.26678831660646662</v>
      </c>
      <c r="AK114" s="1369">
        <f t="shared" si="180"/>
        <v>0.2514919706563416</v>
      </c>
      <c r="AL114" s="1369">
        <f t="shared" si="180"/>
        <v>0.25488913166140437</v>
      </c>
      <c r="AM114" s="1369">
        <f t="shared" si="180"/>
        <v>0.25096715401676972</v>
      </c>
      <c r="AN114" s="1369">
        <f t="shared" si="180"/>
        <v>0.25437388449419385</v>
      </c>
      <c r="AO114" s="1369">
        <f t="shared" si="180"/>
        <v>0.24526513576880227</v>
      </c>
      <c r="AP114" s="1369">
        <f t="shared" si="180"/>
        <v>0.24672852598091199</v>
      </c>
      <c r="AQ114" s="1369">
        <f t="shared" si="185"/>
        <v>0.248568179468624</v>
      </c>
      <c r="AR114" s="1369"/>
      <c r="AS114" s="1369">
        <f t="shared" si="186"/>
        <v>6.7275492022588645E-2</v>
      </c>
      <c r="AT114" s="1369">
        <f t="shared" si="186"/>
        <v>6.8340095151922006E-2</v>
      </c>
      <c r="AU114" s="1369">
        <f t="shared" si="186"/>
        <v>6.6867758083524895E-2</v>
      </c>
      <c r="AV114" s="1369">
        <f t="shared" si="186"/>
        <v>7.1493380749978686E-2</v>
      </c>
      <c r="AW114" s="1369">
        <f t="shared" si="186"/>
        <v>7.9751157247637192E-2</v>
      </c>
      <c r="AX114" s="1369">
        <f t="shared" si="186"/>
        <v>8.3147956990596794E-2</v>
      </c>
      <c r="AY114" s="1369">
        <f t="shared" si="186"/>
        <v>7.5315423973164222E-2</v>
      </c>
      <c r="AZ114" s="1369">
        <f t="shared" si="186"/>
        <v>7.5198050734899324E-2</v>
      </c>
      <c r="BA114" s="1369">
        <f t="shared" si="186"/>
        <v>7.3735437721443906E-2</v>
      </c>
      <c r="BB114" s="1369">
        <f t="shared" si="186"/>
        <v>7.4250979806409087E-2</v>
      </c>
      <c r="BC114" s="1369">
        <f t="shared" si="186"/>
        <v>7.782731079619512E-2</v>
      </c>
      <c r="BD114" s="1369">
        <f t="shared" si="186"/>
        <v>8.644190871369295E-2</v>
      </c>
      <c r="BE114" s="1369">
        <f t="shared" si="186"/>
        <v>9.2819396953683561E-2</v>
      </c>
      <c r="BF114" s="1363"/>
      <c r="BG114" s="1369">
        <f t="shared" si="187"/>
        <v>6.7700954139011532E-2</v>
      </c>
      <c r="BH114" s="1369">
        <f t="shared" si="187"/>
        <v>6.7844447922022752E-2</v>
      </c>
      <c r="BI114" s="1369">
        <f t="shared" si="187"/>
        <v>6.0058756583648731E-2</v>
      </c>
      <c r="BJ114" s="1369">
        <f t="shared" si="187"/>
        <v>6.3498037528899404E-2</v>
      </c>
      <c r="BK114" s="1369">
        <f t="shared" si="187"/>
        <v>6.6488501702394759E-2</v>
      </c>
      <c r="BL114" s="1369">
        <f t="shared" si="187"/>
        <v>6.8588729678886629E-2</v>
      </c>
      <c r="BM114" s="1369">
        <f t="shared" si="187"/>
        <v>6.5368960398410184E-2</v>
      </c>
      <c r="BN114" s="1369">
        <f t="shared" si="187"/>
        <v>6.5911366133561231E-2</v>
      </c>
      <c r="BO114" s="1369">
        <f t="shared" si="187"/>
        <v>6.1969027391519674E-2</v>
      </c>
      <c r="BP114" s="1369">
        <f t="shared" si="187"/>
        <v>5.987441488754424E-2</v>
      </c>
      <c r="BQ114" s="1369">
        <f t="shared" si="187"/>
        <v>5.876723746356264E-2</v>
      </c>
      <c r="BR114" s="1369">
        <f t="shared" si="187"/>
        <v>6.5160211430348156E-2</v>
      </c>
      <c r="BS114" s="1369">
        <f t="shared" si="187"/>
        <v>7.4413065525411035E-2</v>
      </c>
      <c r="BT114" s="1363"/>
      <c r="BU114" s="1369">
        <f t="shared" si="188"/>
        <v>6.4881115198490713E-2</v>
      </c>
      <c r="BV114" s="1369">
        <f t="shared" si="188"/>
        <v>5.4058418121167448E-2</v>
      </c>
      <c r="BW114" s="1369">
        <f t="shared" si="188"/>
        <v>4.5206862374133891E-2</v>
      </c>
      <c r="BX114" s="1369">
        <f t="shared" si="188"/>
        <v>3.6347947489868339E-2</v>
      </c>
      <c r="BY114" s="1369">
        <f t="shared" si="188"/>
        <v>3.659108122696425E-2</v>
      </c>
      <c r="BZ114" s="1369">
        <f t="shared" si="188"/>
        <v>3.3775493164310659E-2</v>
      </c>
      <c r="CA114" s="1369">
        <f t="shared" si="188"/>
        <v>2.6817272729310282E-2</v>
      </c>
      <c r="CB114" s="1369">
        <f t="shared" si="188"/>
        <v>2.6766184566522438E-2</v>
      </c>
      <c r="CC114" s="1369">
        <f t="shared" si="188"/>
        <v>2.520035641977118E-2</v>
      </c>
      <c r="CD114" s="1369">
        <f t="shared" si="188"/>
        <v>2.816527339591807E-2</v>
      </c>
      <c r="CE114" s="1369">
        <f t="shared" si="188"/>
        <v>2.5301253908235531E-2</v>
      </c>
      <c r="CF114" s="1369">
        <f t="shared" si="188"/>
        <v>2.6655096322484664E-2</v>
      </c>
      <c r="CG114" s="1369">
        <f t="shared" si="188"/>
        <v>2.6610789566643693E-2</v>
      </c>
      <c r="CH114" s="1363"/>
      <c r="CI114" s="1369">
        <f t="shared" si="189"/>
        <v>0.49360295047590297</v>
      </c>
      <c r="CJ114" s="1369">
        <f t="shared" si="189"/>
        <v>0.491975487606785</v>
      </c>
      <c r="CK114" s="1369">
        <f t="shared" si="189"/>
        <v>0.49516317714138336</v>
      </c>
      <c r="CL114" s="1369">
        <f t="shared" si="189"/>
        <v>0.51361412986431354</v>
      </c>
      <c r="CM114" s="1369">
        <f t="shared" si="189"/>
        <v>0.49256222335099048</v>
      </c>
      <c r="CN114" s="1369">
        <f t="shared" si="189"/>
        <v>0.48919258241292141</v>
      </c>
      <c r="CO114" s="1369">
        <f t="shared" si="189"/>
        <v>0.48768352513578095</v>
      </c>
      <c r="CP114" s="1369">
        <f t="shared" si="189"/>
        <v>0.48422620420590617</v>
      </c>
      <c r="CQ114" s="1369">
        <f t="shared" si="189"/>
        <v>0.4774333030222343</v>
      </c>
      <c r="CR114" s="1369">
        <f t="shared" si="189"/>
        <v>0.47147250073617797</v>
      </c>
      <c r="CS114" s="1369">
        <f t="shared" si="189"/>
        <v>0.4643479717000879</v>
      </c>
      <c r="CT114" s="1369">
        <f t="shared" si="189"/>
        <v>0.47676901566090085</v>
      </c>
      <c r="CU114" s="1370">
        <f t="shared" si="189"/>
        <v>0.46031732678264964</v>
      </c>
    </row>
    <row r="115" spans="29:105" s="1098" customFormat="1">
      <c r="AC115" s="1086"/>
      <c r="AE115" s="1371">
        <f t="shared" si="180"/>
        <v>5.594822503825491E-2</v>
      </c>
      <c r="AF115" s="1372">
        <f t="shared" si="180"/>
        <v>5.5374273510258386E-2</v>
      </c>
      <c r="AG115" s="1372">
        <f t="shared" si="180"/>
        <v>5.4985386614947403E-2</v>
      </c>
      <c r="AH115" s="1372">
        <f t="shared" si="180"/>
        <v>5.1856711007716293E-2</v>
      </c>
      <c r="AI115" s="1372">
        <f t="shared" si="180"/>
        <v>4.9525927583053145E-2</v>
      </c>
      <c r="AJ115" s="1372">
        <f t="shared" si="180"/>
        <v>4.7962155203659498E-2</v>
      </c>
      <c r="AK115" s="1372">
        <f t="shared" si="180"/>
        <v>5.1727924795893394E-2</v>
      </c>
      <c r="AL115" s="1372">
        <f t="shared" si="180"/>
        <v>5.2618941858650368E-2</v>
      </c>
      <c r="AM115" s="1372">
        <f t="shared" si="180"/>
        <v>5.5960247820679612E-2</v>
      </c>
      <c r="AN115" s="1372">
        <f t="shared" si="180"/>
        <v>5.590749840248551E-2</v>
      </c>
      <c r="AO115" s="1372">
        <f t="shared" si="180"/>
        <v>5.6325069145368785E-2</v>
      </c>
      <c r="AP115" s="1372">
        <f t="shared" si="180"/>
        <v>5.5949098621420994E-2</v>
      </c>
      <c r="AQ115" s="1372">
        <f t="shared" si="185"/>
        <v>5.392846066370309E-2</v>
      </c>
      <c r="AR115" s="1372"/>
      <c r="AS115" s="1372">
        <f t="shared" si="186"/>
        <v>1.2408661686951173E-2</v>
      </c>
      <c r="AT115" s="1372">
        <f t="shared" si="186"/>
        <v>1.221505501882607E-2</v>
      </c>
      <c r="AU115" s="1372">
        <f t="shared" si="186"/>
        <v>1.2345534953733415E-2</v>
      </c>
      <c r="AV115" s="1372">
        <f t="shared" si="186"/>
        <v>1.3463810300941431E-2</v>
      </c>
      <c r="AW115" s="1372">
        <f t="shared" si="186"/>
        <v>1.4322569166444267E-2</v>
      </c>
      <c r="AX115" s="1372">
        <f t="shared" si="186"/>
        <v>1.4228745517239216E-2</v>
      </c>
      <c r="AY115" s="1372">
        <f t="shared" si="186"/>
        <v>1.4335026273552756E-2</v>
      </c>
      <c r="AZ115" s="1372">
        <f t="shared" si="186"/>
        <v>1.4989999340615864E-2</v>
      </c>
      <c r="BA115" s="1372">
        <f t="shared" si="186"/>
        <v>1.7658108155513812E-2</v>
      </c>
      <c r="BB115" s="1372">
        <f t="shared" si="186"/>
        <v>1.8686945764021703E-2</v>
      </c>
      <c r="BC115" s="1372">
        <f t="shared" si="186"/>
        <v>1.7727890401841428E-2</v>
      </c>
      <c r="BD115" s="1372">
        <f t="shared" si="186"/>
        <v>1.9187413554633471E-2</v>
      </c>
      <c r="BE115" s="1372">
        <f t="shared" si="186"/>
        <v>1.8170828584257243E-2</v>
      </c>
      <c r="BF115" s="1373"/>
      <c r="BG115" s="1372">
        <f t="shared" si="187"/>
        <v>1.2151604047007367E-2</v>
      </c>
      <c r="BH115" s="1372">
        <f t="shared" si="187"/>
        <v>1.2278956428427712E-2</v>
      </c>
      <c r="BI115" s="1372">
        <f t="shared" si="187"/>
        <v>1.1925998464918085E-2</v>
      </c>
      <c r="BJ115" s="1372">
        <f t="shared" si="187"/>
        <v>1.1916574204869275E-2</v>
      </c>
      <c r="BK115" s="1372">
        <f t="shared" si="187"/>
        <v>1.2901108934243814E-2</v>
      </c>
      <c r="BL115" s="1372">
        <f t="shared" si="187"/>
        <v>1.1727048957855625E-2</v>
      </c>
      <c r="BM115" s="1372">
        <f t="shared" si="187"/>
        <v>1.1071206244313557E-2</v>
      </c>
      <c r="BN115" s="1372">
        <f t="shared" si="187"/>
        <v>1.2164570870467586E-2</v>
      </c>
      <c r="BO115" s="1372">
        <f t="shared" si="187"/>
        <v>1.4086250904796373E-2</v>
      </c>
      <c r="BP115" s="1372">
        <f t="shared" si="187"/>
        <v>1.5097613882863341E-2</v>
      </c>
      <c r="BQ115" s="1372">
        <f t="shared" si="187"/>
        <v>1.4103078598864874E-2</v>
      </c>
      <c r="BR115" s="1372">
        <f t="shared" si="187"/>
        <v>1.397910906814343E-2</v>
      </c>
      <c r="BS115" s="1372">
        <f t="shared" si="187"/>
        <v>1.2990619989647902E-2</v>
      </c>
      <c r="BT115" s="1373"/>
      <c r="BU115" s="1372">
        <f t="shared" si="188"/>
        <v>1.0061941269553169E-2</v>
      </c>
      <c r="BV115" s="1372">
        <f t="shared" si="188"/>
        <v>8.6757140794662731E-3</v>
      </c>
      <c r="BW115" s="1372">
        <f t="shared" si="188"/>
        <v>7.5201791729794399E-3</v>
      </c>
      <c r="BX115" s="1372">
        <f t="shared" si="188"/>
        <v>5.8923619863876986E-3</v>
      </c>
      <c r="BY115" s="1372">
        <f t="shared" si="188"/>
        <v>6.6194271135785526E-3</v>
      </c>
      <c r="BZ115" s="1372">
        <f t="shared" si="188"/>
        <v>7.3030791458837023E-3</v>
      </c>
      <c r="CA115" s="1372">
        <f t="shared" si="188"/>
        <v>6.1180288725538904E-3</v>
      </c>
      <c r="CB115" s="1372">
        <f t="shared" si="188"/>
        <v>5.7896893009089503E-3</v>
      </c>
      <c r="CC115" s="1372">
        <f t="shared" si="188"/>
        <v>6.717890119468068E-3</v>
      </c>
      <c r="CD115" s="1372">
        <f t="shared" si="188"/>
        <v>7.8541488625727424E-3</v>
      </c>
      <c r="CE115" s="1372">
        <f t="shared" si="188"/>
        <v>6.2478333964528822E-3</v>
      </c>
      <c r="CF115" s="1372">
        <f t="shared" si="188"/>
        <v>5.2362954801871524E-3</v>
      </c>
      <c r="CG115" s="1372">
        <f t="shared" si="188"/>
        <v>4.2093093916510419E-3</v>
      </c>
      <c r="CH115" s="1373"/>
      <c r="CI115" s="1372">
        <f t="shared" si="189"/>
        <v>0.10445386413613313</v>
      </c>
      <c r="CJ115" s="1372">
        <f t="shared" si="189"/>
        <v>0.10425313057257805</v>
      </c>
      <c r="CK115" s="1372">
        <f t="shared" si="189"/>
        <v>0.10574136676399878</v>
      </c>
      <c r="CL115" s="1372">
        <f t="shared" si="189"/>
        <v>0.10241212570764785</v>
      </c>
      <c r="CM115" s="1372">
        <f t="shared" si="189"/>
        <v>0.10461608633004033</v>
      </c>
      <c r="CN115" s="1372">
        <f t="shared" si="189"/>
        <v>0.10505759997285422</v>
      </c>
      <c r="CO115" s="1372">
        <f t="shared" si="189"/>
        <v>0.10500337697809176</v>
      </c>
      <c r="CP115" s="1372">
        <f t="shared" si="189"/>
        <v>0.10660575066396905</v>
      </c>
      <c r="CQ115" s="1372">
        <f t="shared" si="189"/>
        <v>0.10792928303365537</v>
      </c>
      <c r="CR115" s="1372">
        <f t="shared" si="189"/>
        <v>0.1099037256236594</v>
      </c>
      <c r="CS115" s="1372">
        <f t="shared" si="189"/>
        <v>0.11164901410809226</v>
      </c>
      <c r="CT115" s="1372">
        <f t="shared" si="189"/>
        <v>0.10703278087080897</v>
      </c>
      <c r="CU115" s="1374">
        <f t="shared" si="189"/>
        <v>0.10860113739610323</v>
      </c>
    </row>
    <row r="116" spans="29:105" s="1085" customFormat="1">
      <c r="AC116" s="1086"/>
    </row>
    <row r="117" spans="29:105">
      <c r="AC117" s="1086"/>
      <c r="AE117" s="606"/>
      <c r="AF117" s="606"/>
      <c r="AG117" s="606"/>
      <c r="AH117" s="606"/>
      <c r="AI117" s="606"/>
      <c r="AJ117" s="606"/>
      <c r="AK117" s="606"/>
      <c r="AL117" s="606"/>
      <c r="AM117" s="606"/>
      <c r="AN117" s="606"/>
      <c r="AO117" s="606"/>
      <c r="AP117" s="606"/>
      <c r="AQ117" s="606"/>
      <c r="AR117" s="606"/>
      <c r="AS117" s="606"/>
      <c r="AT117" s="606"/>
      <c r="AU117" s="606"/>
      <c r="AV117" s="606"/>
      <c r="AW117" s="606"/>
      <c r="AX117" s="606"/>
      <c r="AY117" s="606"/>
      <c r="AZ117" s="606"/>
      <c r="BA117" s="606"/>
      <c r="BB117" s="606"/>
      <c r="BC117" s="606"/>
      <c r="BD117" s="606"/>
      <c r="BE117" s="606"/>
      <c r="BF117" s="606"/>
      <c r="BG117" s="606"/>
      <c r="BH117" s="606"/>
      <c r="BI117" s="606"/>
      <c r="BJ117" s="606"/>
      <c r="BK117" s="606"/>
      <c r="BL117" s="606"/>
      <c r="BM117" s="606"/>
      <c r="BN117" s="606"/>
      <c r="BO117" s="606"/>
      <c r="BP117" s="606"/>
      <c r="BQ117" s="606"/>
      <c r="BR117" s="606"/>
      <c r="BS117" s="606"/>
      <c r="BT117" s="606"/>
      <c r="BU117" s="606"/>
      <c r="BV117" s="606"/>
      <c r="BW117" s="606"/>
      <c r="BX117" s="606"/>
      <c r="BY117" s="606"/>
      <c r="BZ117" s="606"/>
      <c r="CA117" s="606"/>
      <c r="CB117" s="606"/>
      <c r="CC117" s="606"/>
      <c r="CD117" s="606"/>
      <c r="CE117" s="606"/>
      <c r="CF117" s="606"/>
      <c r="CG117" s="606"/>
      <c r="CH117" s="606"/>
      <c r="CI117" s="606"/>
      <c r="CJ117" s="606"/>
      <c r="CK117" s="606"/>
      <c r="CL117" s="606"/>
      <c r="CM117" s="606"/>
      <c r="CN117" s="606"/>
      <c r="CO117" s="606"/>
      <c r="CP117" s="606"/>
      <c r="CQ117" s="606"/>
      <c r="CR117" s="606"/>
      <c r="CS117" s="606"/>
      <c r="CT117" s="606"/>
      <c r="CU117" s="606"/>
      <c r="CV117" s="606"/>
      <c r="CW117" s="606"/>
      <c r="CX117" s="606"/>
      <c r="CY117" s="606"/>
      <c r="CZ117" s="606"/>
      <c r="DA117" s="606"/>
    </row>
    <row r="118" spans="29:105">
      <c r="AC118" s="1086"/>
      <c r="AE118" s="606"/>
      <c r="AF118" s="606"/>
      <c r="AG118" s="606"/>
      <c r="AH118" s="606"/>
      <c r="AI118" s="606"/>
      <c r="AJ118" s="606"/>
      <c r="AK118" s="606"/>
      <c r="AL118" s="606"/>
      <c r="AM118" s="606"/>
      <c r="AN118" s="606"/>
      <c r="AO118" s="606"/>
      <c r="AP118" s="606"/>
      <c r="AQ118" s="606"/>
      <c r="AR118" s="606"/>
      <c r="AS118" s="606"/>
      <c r="AT118" s="606"/>
      <c r="AU118" s="606"/>
      <c r="AV118" s="606"/>
      <c r="AW118" s="606"/>
      <c r="AX118" s="606"/>
      <c r="AY118" s="606"/>
      <c r="AZ118" s="606"/>
      <c r="BA118" s="606"/>
      <c r="BB118" s="606"/>
      <c r="BC118" s="606"/>
      <c r="BD118" s="606"/>
      <c r="BE118" s="606"/>
      <c r="BF118" s="606"/>
      <c r="BG118" s="606"/>
      <c r="BH118" s="606"/>
      <c r="BI118" s="606"/>
      <c r="BJ118" s="606"/>
      <c r="BK118" s="606"/>
      <c r="BL118" s="606"/>
      <c r="BM118" s="606"/>
      <c r="BN118" s="606"/>
      <c r="BO118" s="606"/>
      <c r="BP118" s="606"/>
      <c r="BQ118" s="606"/>
      <c r="BR118" s="606"/>
      <c r="BS118" s="606"/>
      <c r="BT118" s="606"/>
      <c r="BU118" s="606"/>
      <c r="BV118" s="606"/>
      <c r="BW118" s="606"/>
      <c r="BX118" s="606"/>
      <c r="BY118" s="606"/>
      <c r="BZ118" s="606"/>
      <c r="CA118" s="606"/>
      <c r="CB118" s="606"/>
      <c r="CC118" s="606"/>
      <c r="CD118" s="606"/>
      <c r="CE118" s="606"/>
      <c r="CF118" s="606"/>
      <c r="CG118" s="606"/>
      <c r="CH118" s="606"/>
      <c r="CI118" s="606"/>
      <c r="CJ118" s="606"/>
      <c r="CK118" s="606"/>
      <c r="CL118" s="606"/>
      <c r="CM118" s="606"/>
      <c r="CN118" s="606"/>
      <c r="CO118" s="606"/>
      <c r="CP118" s="606"/>
      <c r="CQ118" s="606"/>
      <c r="CR118" s="606"/>
      <c r="CS118" s="606"/>
      <c r="CT118" s="606"/>
      <c r="CU118" s="606"/>
      <c r="CV118" s="606"/>
      <c r="CW118" s="606"/>
      <c r="CX118" s="606"/>
      <c r="CY118" s="606"/>
      <c r="CZ118" s="606"/>
      <c r="DA118" s="606"/>
    </row>
    <row r="119" spans="29:105">
      <c r="AC119" s="1086"/>
      <c r="AE119" s="606"/>
      <c r="AF119" s="606"/>
      <c r="AG119" s="606"/>
      <c r="AH119" s="606"/>
      <c r="AI119" s="606"/>
      <c r="AJ119" s="606"/>
      <c r="AK119" s="606"/>
      <c r="AL119" s="606"/>
      <c r="AM119" s="606"/>
      <c r="AN119" s="606"/>
      <c r="AO119" s="606"/>
      <c r="AP119" s="606"/>
      <c r="AQ119" s="606"/>
      <c r="AR119" s="606"/>
      <c r="AS119" s="606"/>
      <c r="AT119" s="606"/>
      <c r="AU119" s="606"/>
      <c r="AV119" s="606"/>
      <c r="AW119" s="606"/>
      <c r="AX119" s="606"/>
      <c r="AY119" s="606"/>
      <c r="AZ119" s="606"/>
      <c r="BA119" s="606"/>
      <c r="BB119" s="606"/>
      <c r="BC119" s="606"/>
      <c r="BD119" s="606"/>
      <c r="BE119" s="606"/>
      <c r="BF119" s="606"/>
      <c r="BG119" s="606"/>
      <c r="BH119" s="606"/>
      <c r="BI119" s="606"/>
      <c r="BJ119" s="606"/>
      <c r="BK119" s="606"/>
      <c r="BL119" s="606"/>
      <c r="BM119" s="606"/>
      <c r="BN119" s="606"/>
      <c r="BO119" s="606"/>
      <c r="BP119" s="606"/>
      <c r="BQ119" s="606"/>
      <c r="BR119" s="606"/>
      <c r="BS119" s="606"/>
      <c r="BT119" s="606"/>
      <c r="BU119" s="606"/>
      <c r="BV119" s="606"/>
      <c r="BW119" s="606"/>
      <c r="BX119" s="606"/>
      <c r="BY119" s="606"/>
      <c r="BZ119" s="606"/>
      <c r="CA119" s="606"/>
      <c r="CB119" s="606"/>
      <c r="CC119" s="606"/>
      <c r="CD119" s="606"/>
      <c r="CE119" s="606"/>
      <c r="CF119" s="606"/>
      <c r="CG119" s="606"/>
      <c r="CH119" s="606"/>
      <c r="CI119" s="606"/>
      <c r="CJ119" s="606"/>
      <c r="CK119" s="606"/>
      <c r="CL119" s="606"/>
      <c r="CM119" s="606"/>
      <c r="CN119" s="606"/>
      <c r="CO119" s="606"/>
      <c r="CP119" s="606"/>
      <c r="CQ119" s="606"/>
      <c r="CR119" s="606"/>
      <c r="CS119" s="606"/>
      <c r="CT119" s="606"/>
      <c r="CU119" s="606"/>
      <c r="CV119" s="606"/>
      <c r="CW119" s="606"/>
      <c r="CX119" s="606"/>
      <c r="CY119" s="606"/>
      <c r="CZ119" s="606"/>
      <c r="DA119" s="606"/>
    </row>
    <row r="120" spans="29:105">
      <c r="AC120" s="1086"/>
      <c r="AE120" s="606"/>
      <c r="AF120" s="606"/>
      <c r="AG120" s="606"/>
      <c r="AH120" s="606"/>
      <c r="AI120" s="606"/>
      <c r="AJ120" s="606"/>
      <c r="AK120" s="606"/>
      <c r="AL120" s="606"/>
      <c r="AM120" s="606"/>
      <c r="AN120" s="606"/>
      <c r="AO120" s="606"/>
      <c r="AP120" s="606"/>
      <c r="AQ120" s="606"/>
      <c r="AR120" s="606"/>
      <c r="AS120" s="606"/>
      <c r="AT120" s="606"/>
      <c r="AU120" s="606"/>
      <c r="AV120" s="606"/>
      <c r="AW120" s="606"/>
      <c r="AX120" s="606"/>
      <c r="AY120" s="606"/>
      <c r="AZ120" s="606"/>
      <c r="BA120" s="606"/>
      <c r="BB120" s="606"/>
      <c r="BC120" s="606"/>
      <c r="BD120" s="606"/>
      <c r="BE120" s="606"/>
      <c r="BF120" s="606"/>
      <c r="BG120" s="606"/>
      <c r="BH120" s="606"/>
      <c r="BI120" s="606"/>
      <c r="BJ120" s="606"/>
      <c r="BK120" s="606"/>
      <c r="BL120" s="606"/>
      <c r="BM120" s="606"/>
      <c r="BN120" s="606"/>
      <c r="BO120" s="606"/>
      <c r="BP120" s="606"/>
      <c r="BQ120" s="606"/>
      <c r="BR120" s="606"/>
      <c r="BS120" s="606"/>
      <c r="BT120" s="606"/>
      <c r="BU120" s="606"/>
      <c r="BV120" s="606"/>
      <c r="BW120" s="606"/>
      <c r="BX120" s="606"/>
      <c r="BY120" s="606"/>
      <c r="BZ120" s="606"/>
      <c r="CA120" s="606"/>
      <c r="CB120" s="606"/>
      <c r="CC120" s="606"/>
      <c r="CD120" s="606"/>
      <c r="CE120" s="606"/>
      <c r="CF120" s="606"/>
      <c r="CG120" s="606"/>
      <c r="CH120" s="606"/>
      <c r="CI120" s="606"/>
      <c r="CJ120" s="606"/>
      <c r="CK120" s="606"/>
      <c r="CL120" s="606"/>
      <c r="CM120" s="606"/>
      <c r="CN120" s="606"/>
      <c r="CO120" s="606"/>
      <c r="CP120" s="606"/>
      <c r="CQ120" s="606"/>
      <c r="CR120" s="606"/>
      <c r="CS120" s="606"/>
      <c r="CT120" s="606"/>
      <c r="CU120" s="606"/>
      <c r="CV120" s="606"/>
      <c r="CW120" s="606"/>
      <c r="CX120" s="606"/>
      <c r="CY120" s="606"/>
      <c r="CZ120" s="606"/>
      <c r="DA120" s="606"/>
    </row>
    <row r="121" spans="29:105">
      <c r="AC121" s="1086"/>
      <c r="AE121" s="606"/>
      <c r="AF121" s="606"/>
      <c r="AG121" s="606"/>
      <c r="AH121" s="606"/>
      <c r="AI121" s="606"/>
      <c r="AJ121" s="606"/>
      <c r="AK121" s="606"/>
      <c r="AL121" s="606"/>
      <c r="AM121" s="606"/>
      <c r="AN121" s="606"/>
      <c r="AO121" s="606"/>
      <c r="AP121" s="606"/>
      <c r="AQ121" s="606"/>
      <c r="AR121" s="606"/>
      <c r="AS121" s="606"/>
      <c r="AT121" s="606"/>
      <c r="AU121" s="606"/>
      <c r="AV121" s="606"/>
      <c r="AW121" s="606"/>
      <c r="AX121" s="606"/>
      <c r="AY121" s="606"/>
      <c r="AZ121" s="606"/>
      <c r="BA121" s="606"/>
      <c r="BB121" s="606"/>
      <c r="BC121" s="606"/>
      <c r="BD121" s="606"/>
      <c r="BE121" s="606"/>
      <c r="BF121" s="606"/>
      <c r="BG121" s="606"/>
      <c r="BH121" s="606"/>
      <c r="BI121" s="606"/>
      <c r="BJ121" s="606"/>
      <c r="BK121" s="606"/>
      <c r="BL121" s="606"/>
      <c r="BM121" s="606"/>
      <c r="BN121" s="606"/>
      <c r="BO121" s="606"/>
      <c r="BP121" s="606"/>
      <c r="BQ121" s="606"/>
      <c r="BR121" s="606"/>
      <c r="BS121" s="606"/>
      <c r="BT121" s="606"/>
      <c r="BU121" s="606"/>
      <c r="BV121" s="606"/>
      <c r="BW121" s="606"/>
      <c r="BX121" s="606"/>
      <c r="BY121" s="606"/>
      <c r="BZ121" s="606"/>
      <c r="CA121" s="606"/>
      <c r="CB121" s="606"/>
      <c r="CC121" s="606"/>
      <c r="CD121" s="606"/>
      <c r="CE121" s="606"/>
      <c r="CF121" s="606"/>
      <c r="CG121" s="606"/>
      <c r="CH121" s="606"/>
      <c r="CI121" s="606"/>
      <c r="CJ121" s="606"/>
      <c r="CK121" s="606"/>
      <c r="CL121" s="606"/>
      <c r="CM121" s="606"/>
      <c r="CN121" s="606"/>
      <c r="CO121" s="606"/>
      <c r="CP121" s="606"/>
      <c r="CQ121" s="606"/>
      <c r="CR121" s="606"/>
      <c r="CS121" s="606"/>
      <c r="CT121" s="606"/>
    </row>
    <row r="122" spans="29:105">
      <c r="AC122" s="1086"/>
      <c r="AE122" s="606"/>
      <c r="AF122" s="606"/>
      <c r="AG122" s="606"/>
      <c r="AH122" s="606"/>
      <c r="AI122" s="606"/>
      <c r="AJ122" s="606"/>
      <c r="AK122" s="606"/>
      <c r="AL122" s="606"/>
      <c r="AM122" s="606"/>
      <c r="AN122" s="606"/>
      <c r="AO122" s="606"/>
      <c r="AP122" s="606"/>
      <c r="AQ122" s="606"/>
      <c r="AR122" s="606"/>
      <c r="AS122" s="606"/>
      <c r="AT122" s="606"/>
      <c r="AU122" s="606"/>
      <c r="AV122" s="606"/>
      <c r="AW122" s="606"/>
      <c r="AX122" s="606"/>
      <c r="AY122" s="606"/>
      <c r="AZ122" s="606"/>
      <c r="BA122" s="606"/>
      <c r="BB122" s="606"/>
      <c r="BC122" s="606"/>
      <c r="BD122" s="606"/>
      <c r="BE122" s="606"/>
      <c r="BF122" s="606"/>
      <c r="BG122" s="606"/>
      <c r="BH122" s="606"/>
      <c r="BI122" s="606"/>
      <c r="BJ122" s="606"/>
      <c r="BK122" s="606"/>
      <c r="BL122" s="606"/>
      <c r="BM122" s="606"/>
      <c r="BN122" s="606"/>
      <c r="BO122" s="606"/>
      <c r="BP122" s="606"/>
      <c r="BQ122" s="606"/>
      <c r="BR122" s="606"/>
      <c r="BS122" s="606"/>
      <c r="BT122" s="606"/>
      <c r="BU122" s="606"/>
      <c r="BV122" s="606"/>
      <c r="BW122" s="606"/>
      <c r="BX122" s="606"/>
      <c r="BY122" s="606"/>
      <c r="BZ122" s="606"/>
      <c r="CA122" s="606"/>
      <c r="CB122" s="606"/>
      <c r="CC122" s="606"/>
      <c r="CD122" s="606"/>
      <c r="CE122" s="606"/>
      <c r="CF122" s="606"/>
      <c r="CG122" s="606"/>
      <c r="CH122" s="606"/>
      <c r="CI122" s="606"/>
      <c r="CJ122" s="606"/>
      <c r="CK122" s="606"/>
      <c r="CL122" s="606"/>
      <c r="CM122" s="606"/>
      <c r="CN122" s="606"/>
      <c r="CO122" s="606"/>
      <c r="CP122" s="606"/>
      <c r="CQ122" s="606"/>
      <c r="CR122" s="606"/>
      <c r="CS122" s="606"/>
      <c r="CT122" s="606"/>
    </row>
    <row r="123" spans="29:105">
      <c r="AC123" s="1086"/>
      <c r="AE123" s="606"/>
      <c r="AF123" s="606"/>
      <c r="AG123" s="606"/>
      <c r="AH123" s="606"/>
      <c r="AI123" s="606"/>
      <c r="AJ123" s="606"/>
      <c r="AK123" s="606"/>
      <c r="AL123" s="606"/>
      <c r="AM123" s="606"/>
      <c r="AN123" s="606"/>
      <c r="AO123" s="606"/>
      <c r="AP123" s="606"/>
      <c r="AQ123" s="606"/>
      <c r="AR123" s="606"/>
      <c r="AS123" s="606"/>
      <c r="AT123" s="606"/>
      <c r="AU123" s="606"/>
      <c r="AV123" s="606"/>
      <c r="AW123" s="606"/>
      <c r="AX123" s="606"/>
      <c r="AY123" s="606"/>
      <c r="AZ123" s="606"/>
      <c r="BA123" s="606"/>
      <c r="BB123" s="606"/>
      <c r="BC123" s="606"/>
      <c r="BD123" s="606"/>
      <c r="BE123" s="606"/>
      <c r="BF123" s="606"/>
      <c r="BG123" s="606"/>
      <c r="BH123" s="606"/>
      <c r="BI123" s="606"/>
      <c r="BJ123" s="606"/>
      <c r="BK123" s="606"/>
      <c r="BL123" s="606"/>
      <c r="BM123" s="606"/>
      <c r="BN123" s="606"/>
      <c r="BO123" s="606"/>
      <c r="BP123" s="606"/>
      <c r="BQ123" s="606"/>
      <c r="BR123" s="606"/>
      <c r="BS123" s="606"/>
      <c r="BT123" s="606"/>
      <c r="BU123" s="606"/>
      <c r="BV123" s="606"/>
      <c r="BW123" s="606"/>
      <c r="BX123" s="606"/>
      <c r="BY123" s="606"/>
      <c r="BZ123" s="606"/>
      <c r="CA123" s="606"/>
      <c r="CB123" s="606"/>
      <c r="CC123" s="606"/>
      <c r="CD123" s="606"/>
      <c r="CE123" s="606"/>
      <c r="CF123" s="606"/>
      <c r="CG123" s="606"/>
      <c r="CH123" s="606"/>
      <c r="CI123" s="606"/>
      <c r="CJ123" s="606"/>
      <c r="CK123" s="606"/>
      <c r="CL123" s="606"/>
      <c r="CM123" s="606"/>
      <c r="CN123" s="606"/>
      <c r="CO123" s="606"/>
      <c r="CP123" s="606"/>
      <c r="CQ123" s="606"/>
      <c r="CR123" s="606"/>
      <c r="CS123" s="606"/>
      <c r="CT123" s="606"/>
    </row>
    <row r="124" spans="29:105">
      <c r="AC124" s="1086"/>
      <c r="AE124" s="606"/>
      <c r="AF124" s="606"/>
      <c r="AG124" s="606"/>
      <c r="AH124" s="606"/>
      <c r="AI124" s="606"/>
      <c r="AJ124" s="606"/>
      <c r="AK124" s="606"/>
      <c r="AL124" s="606"/>
      <c r="AM124" s="606"/>
      <c r="AN124" s="606"/>
      <c r="AO124" s="606"/>
      <c r="AP124" s="606"/>
      <c r="AQ124" s="606"/>
      <c r="AR124" s="606"/>
      <c r="AS124" s="606"/>
      <c r="AT124" s="606"/>
      <c r="AU124" s="606"/>
      <c r="AV124" s="606"/>
      <c r="AW124" s="606"/>
      <c r="AX124" s="606"/>
      <c r="AY124" s="606"/>
      <c r="AZ124" s="606"/>
      <c r="BA124" s="606"/>
      <c r="BB124" s="606"/>
      <c r="BC124" s="606"/>
      <c r="BD124" s="606"/>
      <c r="BE124" s="606"/>
      <c r="BF124" s="606"/>
      <c r="BG124" s="606"/>
      <c r="BH124" s="606"/>
      <c r="BI124" s="606"/>
      <c r="BJ124" s="606"/>
      <c r="BK124" s="606"/>
      <c r="BL124" s="606"/>
      <c r="BM124" s="606"/>
      <c r="BN124" s="606"/>
      <c r="BO124" s="606"/>
      <c r="BP124" s="606"/>
      <c r="BQ124" s="606"/>
      <c r="BR124" s="606"/>
      <c r="BS124" s="606"/>
      <c r="BT124" s="606"/>
      <c r="BU124" s="606"/>
      <c r="BV124" s="606"/>
      <c r="BW124" s="606"/>
      <c r="BX124" s="606"/>
      <c r="BY124" s="606"/>
      <c r="BZ124" s="606"/>
      <c r="CA124" s="606"/>
      <c r="CB124" s="606"/>
      <c r="CC124" s="606"/>
      <c r="CD124" s="606"/>
      <c r="CE124" s="606"/>
      <c r="CF124" s="606"/>
      <c r="CG124" s="606"/>
      <c r="CH124" s="606"/>
      <c r="CI124" s="606"/>
      <c r="CJ124" s="606"/>
      <c r="CK124" s="606"/>
      <c r="CL124" s="606"/>
      <c r="CM124" s="606"/>
      <c r="CN124" s="606"/>
      <c r="CO124" s="606"/>
      <c r="CP124" s="606"/>
      <c r="CQ124" s="606"/>
      <c r="CR124" s="606"/>
      <c r="CS124" s="606"/>
      <c r="CT124" s="606"/>
    </row>
    <row r="125" spans="29:105">
      <c r="AE125" s="606"/>
      <c r="AF125" s="606"/>
      <c r="AG125" s="606"/>
      <c r="AH125" s="606"/>
      <c r="AI125" s="606"/>
      <c r="AJ125" s="606"/>
      <c r="AK125" s="606"/>
      <c r="AL125" s="606"/>
      <c r="AM125" s="606"/>
      <c r="AN125" s="606"/>
      <c r="AO125" s="606"/>
      <c r="AP125" s="606"/>
      <c r="AQ125" s="606"/>
      <c r="AR125" s="606"/>
      <c r="AS125" s="606"/>
      <c r="AT125" s="606"/>
      <c r="AU125" s="606"/>
      <c r="AV125" s="606"/>
      <c r="AW125" s="606"/>
      <c r="AX125" s="606"/>
      <c r="AY125" s="606"/>
      <c r="AZ125" s="606"/>
      <c r="BA125" s="606"/>
      <c r="BB125" s="606"/>
      <c r="BC125" s="606"/>
      <c r="BD125" s="606"/>
      <c r="BE125" s="606"/>
      <c r="BF125" s="606"/>
      <c r="BG125" s="606"/>
      <c r="BH125" s="606"/>
      <c r="BI125" s="606"/>
      <c r="BJ125" s="606"/>
      <c r="BK125" s="606"/>
      <c r="BL125" s="606"/>
      <c r="BM125" s="606"/>
      <c r="BN125" s="606"/>
      <c r="BO125" s="606"/>
      <c r="BP125" s="606"/>
      <c r="BQ125" s="606"/>
      <c r="BR125" s="606"/>
      <c r="BS125" s="606"/>
      <c r="BT125" s="606"/>
      <c r="BU125" s="606"/>
      <c r="BV125" s="606"/>
      <c r="BW125" s="606"/>
      <c r="BX125" s="606"/>
      <c r="BY125" s="606"/>
      <c r="BZ125" s="606"/>
      <c r="CA125" s="606"/>
      <c r="CB125" s="606"/>
      <c r="CC125" s="606"/>
      <c r="CD125" s="606"/>
      <c r="CE125" s="606"/>
      <c r="CF125" s="606"/>
      <c r="CG125" s="606"/>
      <c r="CH125" s="606"/>
      <c r="CI125" s="606"/>
      <c r="CJ125" s="606"/>
      <c r="CK125" s="606"/>
      <c r="CL125" s="606"/>
      <c r="CM125" s="606"/>
      <c r="CN125" s="606"/>
      <c r="CO125" s="606"/>
      <c r="CP125" s="606"/>
      <c r="CQ125" s="606"/>
      <c r="CR125" s="606"/>
      <c r="CS125" s="606"/>
      <c r="CT125" s="606"/>
    </row>
    <row r="126" spans="29:105">
      <c r="AE126" s="606"/>
      <c r="AF126" s="606"/>
      <c r="AG126" s="606"/>
      <c r="AH126" s="606"/>
      <c r="AI126" s="606"/>
      <c r="AJ126" s="606"/>
      <c r="AK126" s="606"/>
      <c r="AL126" s="606"/>
      <c r="AM126" s="606"/>
      <c r="AN126" s="606"/>
      <c r="AO126" s="606"/>
      <c r="AP126" s="606"/>
      <c r="AQ126" s="606"/>
      <c r="AR126" s="606"/>
      <c r="AS126" s="606"/>
      <c r="AT126" s="606"/>
      <c r="AU126" s="606"/>
      <c r="AV126" s="606"/>
      <c r="AW126" s="606"/>
      <c r="AX126" s="606"/>
      <c r="AY126" s="606"/>
      <c r="AZ126" s="606"/>
      <c r="BA126" s="606"/>
      <c r="BB126" s="606"/>
      <c r="BC126" s="606"/>
      <c r="BD126" s="606"/>
      <c r="BE126" s="606"/>
      <c r="BF126" s="606"/>
      <c r="BG126" s="606"/>
      <c r="BH126" s="606"/>
      <c r="BI126" s="606"/>
      <c r="BJ126" s="606"/>
      <c r="BK126" s="606"/>
      <c r="BL126" s="606"/>
      <c r="BM126" s="606"/>
      <c r="BN126" s="606"/>
      <c r="BO126" s="606"/>
      <c r="BP126" s="606"/>
      <c r="BQ126" s="606"/>
      <c r="BR126" s="606"/>
      <c r="BS126" s="606"/>
      <c r="BT126" s="606"/>
      <c r="BU126" s="606"/>
      <c r="BV126" s="606"/>
      <c r="BW126" s="606"/>
      <c r="BX126" s="606"/>
      <c r="BY126" s="606"/>
      <c r="BZ126" s="606"/>
      <c r="CA126" s="606"/>
      <c r="CB126" s="606"/>
      <c r="CC126" s="606"/>
      <c r="CD126" s="606"/>
      <c r="CE126" s="606"/>
      <c r="CF126" s="606"/>
      <c r="CG126" s="606"/>
      <c r="CH126" s="606"/>
      <c r="CI126" s="606"/>
      <c r="CJ126" s="606"/>
      <c r="CK126" s="606"/>
      <c r="CL126" s="606"/>
      <c r="CM126" s="606"/>
      <c r="CN126" s="606"/>
      <c r="CO126" s="606"/>
      <c r="CP126" s="606"/>
      <c r="CQ126" s="606"/>
      <c r="CR126" s="606"/>
      <c r="CS126" s="606"/>
      <c r="CT126" s="606"/>
    </row>
    <row r="127" spans="29:105">
      <c r="AE127" s="606"/>
      <c r="AF127" s="606"/>
      <c r="AG127" s="606"/>
      <c r="AH127" s="606"/>
      <c r="AI127" s="606"/>
      <c r="AJ127" s="606"/>
      <c r="AK127" s="606"/>
      <c r="AL127" s="606"/>
      <c r="AM127" s="606"/>
      <c r="AN127" s="606"/>
      <c r="AO127" s="606"/>
      <c r="AP127" s="606"/>
      <c r="AQ127" s="606"/>
      <c r="AR127" s="606"/>
      <c r="AS127" s="606"/>
      <c r="AT127" s="606"/>
      <c r="AU127" s="606"/>
      <c r="AV127" s="606"/>
      <c r="AW127" s="606"/>
      <c r="AX127" s="606"/>
      <c r="AY127" s="606"/>
      <c r="AZ127" s="606"/>
      <c r="BA127" s="606"/>
      <c r="BB127" s="606"/>
      <c r="BC127" s="606"/>
      <c r="BD127" s="606"/>
      <c r="BE127" s="606"/>
      <c r="BF127" s="606"/>
      <c r="BG127" s="606"/>
      <c r="BH127" s="606"/>
      <c r="BI127" s="606"/>
      <c r="BJ127" s="606"/>
      <c r="BK127" s="606"/>
      <c r="BL127" s="606"/>
      <c r="BM127" s="606"/>
      <c r="BN127" s="606"/>
      <c r="BO127" s="606"/>
      <c r="BP127" s="606"/>
      <c r="BQ127" s="606"/>
      <c r="BR127" s="606"/>
      <c r="BS127" s="606"/>
      <c r="BT127" s="606"/>
      <c r="BU127" s="606"/>
      <c r="BV127" s="606"/>
      <c r="BW127" s="606"/>
      <c r="BX127" s="606"/>
      <c r="BY127" s="606"/>
      <c r="BZ127" s="606"/>
      <c r="CA127" s="606"/>
      <c r="CB127" s="606"/>
      <c r="CC127" s="606"/>
      <c r="CD127" s="606"/>
      <c r="CE127" s="606"/>
      <c r="CF127" s="606"/>
      <c r="CG127" s="606"/>
      <c r="CH127" s="606"/>
      <c r="CI127" s="606"/>
      <c r="CJ127" s="606"/>
      <c r="CK127" s="606"/>
      <c r="CL127" s="606"/>
      <c r="CM127" s="606"/>
      <c r="CN127" s="606"/>
      <c r="CO127" s="606"/>
      <c r="CP127" s="606"/>
      <c r="CQ127" s="606"/>
      <c r="CR127" s="606"/>
      <c r="CS127" s="606"/>
      <c r="CT127" s="606"/>
    </row>
    <row r="128" spans="29:105">
      <c r="AE128" s="606"/>
      <c r="AF128" s="606"/>
      <c r="AG128" s="606"/>
      <c r="AH128" s="606"/>
      <c r="AI128" s="606"/>
      <c r="AJ128" s="606"/>
      <c r="AK128" s="606"/>
      <c r="AL128" s="606"/>
      <c r="AM128" s="606"/>
      <c r="AN128" s="606"/>
      <c r="AO128" s="606"/>
      <c r="AP128" s="606"/>
      <c r="AQ128" s="606"/>
      <c r="AR128" s="606"/>
      <c r="AS128" s="606"/>
      <c r="AT128" s="606"/>
      <c r="AU128" s="606"/>
      <c r="AV128" s="606"/>
      <c r="AW128" s="606"/>
      <c r="AX128" s="606"/>
      <c r="AY128" s="606"/>
      <c r="AZ128" s="606"/>
      <c r="BA128" s="606"/>
      <c r="BB128" s="606"/>
      <c r="BC128" s="606"/>
      <c r="BD128" s="606"/>
      <c r="BE128" s="606"/>
      <c r="BF128" s="606"/>
      <c r="BG128" s="606"/>
      <c r="BH128" s="606"/>
      <c r="BI128" s="606"/>
      <c r="BJ128" s="606"/>
      <c r="BK128" s="606"/>
      <c r="BL128" s="606"/>
      <c r="BM128" s="606"/>
      <c r="BN128" s="606"/>
      <c r="BO128" s="606"/>
      <c r="BP128" s="606"/>
      <c r="BQ128" s="606"/>
      <c r="BR128" s="606"/>
      <c r="BS128" s="606"/>
      <c r="BT128" s="606"/>
      <c r="BU128" s="606"/>
      <c r="BV128" s="606"/>
      <c r="BW128" s="606"/>
      <c r="BX128" s="606"/>
      <c r="BY128" s="606"/>
      <c r="BZ128" s="606"/>
      <c r="CA128" s="606"/>
      <c r="CB128" s="606"/>
      <c r="CC128" s="606"/>
      <c r="CD128" s="606"/>
      <c r="CE128" s="606"/>
      <c r="CF128" s="606"/>
      <c r="CG128" s="606"/>
      <c r="CH128" s="606"/>
      <c r="CI128" s="606"/>
      <c r="CJ128" s="606"/>
      <c r="CK128" s="606"/>
      <c r="CL128" s="606"/>
      <c r="CM128" s="606"/>
      <c r="CN128" s="606"/>
      <c r="CO128" s="606"/>
      <c r="CP128" s="606"/>
      <c r="CQ128" s="606"/>
      <c r="CR128" s="606"/>
      <c r="CS128" s="606"/>
      <c r="CT128" s="606"/>
    </row>
    <row r="129" spans="31:98">
      <c r="AE129" s="606"/>
      <c r="AF129" s="606"/>
      <c r="AG129" s="606"/>
      <c r="AH129" s="606"/>
      <c r="AI129" s="606"/>
      <c r="AJ129" s="606"/>
      <c r="AK129" s="606"/>
      <c r="AL129" s="606"/>
      <c r="AM129" s="606"/>
      <c r="AN129" s="606"/>
      <c r="AO129" s="606"/>
      <c r="AP129" s="606"/>
      <c r="AQ129" s="606"/>
      <c r="AR129" s="606"/>
      <c r="AS129" s="606"/>
      <c r="AT129" s="606"/>
      <c r="AU129" s="606"/>
      <c r="AV129" s="606"/>
      <c r="AW129" s="606"/>
      <c r="AX129" s="606"/>
      <c r="AY129" s="606"/>
      <c r="AZ129" s="606"/>
      <c r="BA129" s="606"/>
      <c r="BB129" s="606"/>
      <c r="BC129" s="606"/>
      <c r="BD129" s="606"/>
      <c r="BE129" s="606"/>
      <c r="BF129" s="606"/>
      <c r="BG129" s="606"/>
      <c r="BH129" s="606"/>
      <c r="BI129" s="606"/>
      <c r="BJ129" s="606"/>
      <c r="BK129" s="606"/>
      <c r="BL129" s="606"/>
      <c r="BM129" s="606"/>
      <c r="BN129" s="606"/>
      <c r="BO129" s="606"/>
      <c r="BP129" s="606"/>
      <c r="BQ129" s="606"/>
      <c r="BR129" s="606"/>
      <c r="BS129" s="606"/>
      <c r="BT129" s="606"/>
      <c r="BU129" s="606"/>
      <c r="BV129" s="606"/>
      <c r="BW129" s="606"/>
      <c r="BX129" s="606"/>
      <c r="BY129" s="606"/>
      <c r="BZ129" s="606"/>
      <c r="CA129" s="606"/>
      <c r="CB129" s="606"/>
      <c r="CC129" s="606"/>
      <c r="CD129" s="606"/>
      <c r="CE129" s="606"/>
      <c r="CF129" s="606"/>
      <c r="CG129" s="606"/>
      <c r="CH129" s="606"/>
      <c r="CI129" s="606"/>
      <c r="CJ129" s="606"/>
      <c r="CK129" s="606"/>
      <c r="CL129" s="606"/>
      <c r="CM129" s="606"/>
      <c r="CN129" s="606"/>
      <c r="CO129" s="606"/>
      <c r="CP129" s="606"/>
      <c r="CQ129" s="606"/>
      <c r="CR129" s="606"/>
      <c r="CS129" s="606"/>
      <c r="CT129" s="606"/>
    </row>
  </sheetData>
  <hyperlinks>
    <hyperlink ref="AC1" location="Content!A1" display="ToC" xr:uid="{40E47DF1-1F8A-482D-9A6E-7881C422F352}"/>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62A7D-B2D9-4FEA-A4E6-818FF137A511}">
  <dimension ref="A1:CB66"/>
  <sheetViews>
    <sheetView zoomScale="85" zoomScaleNormal="85" workbookViewId="0">
      <pane xSplit="2" ySplit="7" topLeftCell="C8" activePane="bottomRight" state="frozenSplit"/>
      <selection activeCell="H57" sqref="H56:H57"/>
      <selection pane="topRight" activeCell="H57" sqref="H56:H57"/>
      <selection pane="bottomLeft" activeCell="H57" sqref="H56:H57"/>
      <selection pane="bottomRight" activeCell="O1" sqref="O1"/>
    </sheetView>
  </sheetViews>
  <sheetFormatPr defaultRowHeight="15"/>
  <cols>
    <col min="2" max="2" width="24.85546875" customWidth="1"/>
    <col min="3" max="14" width="9.7109375" customWidth="1"/>
  </cols>
  <sheetData>
    <row r="1" spans="1:15" ht="21">
      <c r="A1" s="496" t="s">
        <v>32</v>
      </c>
      <c r="O1" s="888" t="s">
        <v>458</v>
      </c>
    </row>
    <row r="2" spans="1:15" ht="18.75">
      <c r="A2" s="495" t="s">
        <v>366</v>
      </c>
    </row>
    <row r="3" spans="1:15" ht="18.75">
      <c r="A3" s="495" t="s">
        <v>370</v>
      </c>
    </row>
    <row r="4" spans="1:15" ht="18.75">
      <c r="A4" s="495" t="s">
        <v>368</v>
      </c>
    </row>
    <row r="7" spans="1:15">
      <c r="A7" s="534" t="s">
        <v>34</v>
      </c>
      <c r="B7" s="534" t="s">
        <v>369</v>
      </c>
      <c r="C7" s="534">
        <v>2010</v>
      </c>
      <c r="D7" s="534">
        <f>C7+1</f>
        <v>2011</v>
      </c>
      <c r="E7" s="534">
        <f t="shared" ref="E7:N7" si="0">D7+1</f>
        <v>2012</v>
      </c>
      <c r="F7" s="534">
        <f t="shared" si="0"/>
        <v>2013</v>
      </c>
      <c r="G7" s="534">
        <f t="shared" si="0"/>
        <v>2014</v>
      </c>
      <c r="H7" s="534">
        <f t="shared" si="0"/>
        <v>2015</v>
      </c>
      <c r="I7" s="534">
        <f t="shared" si="0"/>
        <v>2016</v>
      </c>
      <c r="J7" s="534">
        <f t="shared" si="0"/>
        <v>2017</v>
      </c>
      <c r="K7" s="534">
        <f t="shared" si="0"/>
        <v>2018</v>
      </c>
      <c r="L7" s="534">
        <f t="shared" si="0"/>
        <v>2019</v>
      </c>
      <c r="M7" s="534">
        <f t="shared" si="0"/>
        <v>2020</v>
      </c>
      <c r="N7" s="1106">
        <f t="shared" si="0"/>
        <v>2021</v>
      </c>
      <c r="O7" s="1187">
        <v>2022</v>
      </c>
    </row>
    <row r="8" spans="1:15">
      <c r="A8" s="534" t="s">
        <v>36</v>
      </c>
      <c r="B8" s="534" t="s">
        <v>371</v>
      </c>
      <c r="C8" s="603"/>
      <c r="D8" s="603">
        <v>39000</v>
      </c>
      <c r="E8" s="603">
        <v>41785</v>
      </c>
      <c r="F8" s="603">
        <v>41974</v>
      </c>
      <c r="G8" s="603">
        <v>44040</v>
      </c>
      <c r="H8" s="603">
        <v>45434</v>
      </c>
      <c r="I8" s="603">
        <v>45146</v>
      </c>
      <c r="J8" s="603">
        <v>47520</v>
      </c>
      <c r="K8" s="603">
        <v>48431</v>
      </c>
      <c r="L8" s="603">
        <v>53045</v>
      </c>
      <c r="M8" s="603">
        <v>53767</v>
      </c>
      <c r="N8" s="1108">
        <v>58481</v>
      </c>
      <c r="O8" s="1172">
        <v>63664</v>
      </c>
    </row>
    <row r="9" spans="1:15">
      <c r="A9" s="525"/>
      <c r="B9" s="774" t="s">
        <v>372</v>
      </c>
      <c r="C9" s="776"/>
      <c r="D9" s="776">
        <v>23207</v>
      </c>
      <c r="E9" s="776">
        <v>23440</v>
      </c>
      <c r="F9" s="776">
        <v>23963</v>
      </c>
      <c r="G9" s="776">
        <v>25405</v>
      </c>
      <c r="H9" s="776">
        <v>27464</v>
      </c>
      <c r="I9" s="776">
        <v>27072</v>
      </c>
      <c r="J9" s="776">
        <v>29243</v>
      </c>
      <c r="K9" s="776">
        <v>30996</v>
      </c>
      <c r="L9" s="776">
        <v>31992</v>
      </c>
      <c r="M9" s="776">
        <v>32721</v>
      </c>
      <c r="N9" s="1101">
        <v>33388</v>
      </c>
      <c r="O9" s="1173">
        <v>33844</v>
      </c>
    </row>
    <row r="10" spans="1:15">
      <c r="A10" s="525"/>
      <c r="B10" s="774" t="s">
        <v>373</v>
      </c>
      <c r="C10" s="776"/>
      <c r="D10" s="776">
        <v>35971</v>
      </c>
      <c r="E10" s="776">
        <v>36477</v>
      </c>
      <c r="F10" s="776">
        <v>37117</v>
      </c>
      <c r="G10" s="776">
        <v>38454</v>
      </c>
      <c r="H10" s="776">
        <v>39572</v>
      </c>
      <c r="I10" s="776">
        <v>38778</v>
      </c>
      <c r="J10" s="776">
        <v>40056</v>
      </c>
      <c r="K10" s="776">
        <v>43306</v>
      </c>
      <c r="L10" s="776">
        <v>43881</v>
      </c>
      <c r="M10" s="776">
        <v>44542</v>
      </c>
      <c r="N10" s="1101">
        <v>46476</v>
      </c>
      <c r="O10" s="1173">
        <v>46581</v>
      </c>
    </row>
    <row r="11" spans="1:15">
      <c r="A11" s="525"/>
      <c r="B11" s="774" t="s">
        <v>374</v>
      </c>
      <c r="C11" s="776"/>
      <c r="D11" s="776">
        <v>29942</v>
      </c>
      <c r="E11" s="776">
        <v>32053</v>
      </c>
      <c r="F11" s="776">
        <v>32801</v>
      </c>
      <c r="G11" s="776">
        <v>33830</v>
      </c>
      <c r="H11" s="776">
        <v>36016</v>
      </c>
      <c r="I11" s="776">
        <v>37049</v>
      </c>
      <c r="J11" s="776">
        <v>36802</v>
      </c>
      <c r="K11" s="776">
        <v>38713</v>
      </c>
      <c r="L11" s="776">
        <v>39270</v>
      </c>
      <c r="M11" s="776">
        <v>36620</v>
      </c>
      <c r="N11" s="1101">
        <v>37171</v>
      </c>
      <c r="O11" s="1173">
        <v>36537</v>
      </c>
    </row>
    <row r="12" spans="1:15">
      <c r="A12" s="525"/>
      <c r="B12" s="755" t="s">
        <v>375</v>
      </c>
      <c r="C12" s="756"/>
      <c r="D12" s="756">
        <v>9883</v>
      </c>
      <c r="E12" s="756">
        <v>9707</v>
      </c>
      <c r="F12" s="756">
        <v>10322</v>
      </c>
      <c r="G12" s="756">
        <v>10635</v>
      </c>
      <c r="H12" s="756">
        <v>11184</v>
      </c>
      <c r="I12" s="756">
        <v>10914</v>
      </c>
      <c r="J12" s="756">
        <v>11614</v>
      </c>
      <c r="K12" s="756">
        <v>13035</v>
      </c>
      <c r="L12" s="756">
        <v>13218</v>
      </c>
      <c r="M12" s="756">
        <v>12472</v>
      </c>
      <c r="N12" s="1104">
        <v>13022</v>
      </c>
      <c r="O12" s="1173">
        <v>12326</v>
      </c>
    </row>
    <row r="13" spans="1:15">
      <c r="A13" s="526"/>
      <c r="B13" s="526" t="s">
        <v>52</v>
      </c>
      <c r="C13" s="538">
        <f>SUM(C8:C12)</f>
        <v>0</v>
      </c>
      <c r="D13" s="538">
        <f>SUM(D8:D12)</f>
        <v>138003</v>
      </c>
      <c r="E13" s="538">
        <f t="shared" ref="E13:L13" si="1">SUM(E8:E12)</f>
        <v>143462</v>
      </c>
      <c r="F13" s="538">
        <f t="shared" si="1"/>
        <v>146177</v>
      </c>
      <c r="G13" s="538">
        <f t="shared" si="1"/>
        <v>152364</v>
      </c>
      <c r="H13" s="538">
        <f t="shared" si="1"/>
        <v>159670</v>
      </c>
      <c r="I13" s="538">
        <f t="shared" si="1"/>
        <v>158959</v>
      </c>
      <c r="J13" s="538">
        <f t="shared" si="1"/>
        <v>165235</v>
      </c>
      <c r="K13" s="538">
        <f t="shared" si="1"/>
        <v>174481</v>
      </c>
      <c r="L13" s="538">
        <f t="shared" si="1"/>
        <v>181406</v>
      </c>
      <c r="M13" s="538">
        <v>180122</v>
      </c>
      <c r="N13" s="1167">
        <v>188223</v>
      </c>
      <c r="O13" s="1167">
        <f>SUM(O8:O12)</f>
        <v>192952</v>
      </c>
    </row>
    <row r="14" spans="1:15">
      <c r="A14" s="534" t="s">
        <v>38</v>
      </c>
      <c r="B14" s="534" t="s">
        <v>371</v>
      </c>
      <c r="C14" s="603">
        <v>114865</v>
      </c>
      <c r="D14" s="603">
        <v>105983</v>
      </c>
      <c r="E14" s="603">
        <v>103033</v>
      </c>
      <c r="F14" s="603">
        <v>107558</v>
      </c>
      <c r="G14" s="603">
        <v>102383</v>
      </c>
      <c r="H14" s="603">
        <v>98120</v>
      </c>
      <c r="I14" s="603">
        <v>95547</v>
      </c>
      <c r="J14" s="603">
        <v>94551</v>
      </c>
      <c r="K14" s="603">
        <v>91625</v>
      </c>
      <c r="L14" s="603">
        <v>88142</v>
      </c>
      <c r="M14" s="603">
        <v>84150</v>
      </c>
      <c r="N14" s="1108">
        <v>87372</v>
      </c>
      <c r="O14" s="1106"/>
    </row>
    <row r="15" spans="1:15">
      <c r="A15" s="525"/>
      <c r="B15" s="774" t="s">
        <v>372</v>
      </c>
      <c r="C15" s="776">
        <v>56560</v>
      </c>
      <c r="D15" s="776">
        <v>51391</v>
      </c>
      <c r="E15" s="776">
        <v>51139</v>
      </c>
      <c r="F15" s="776">
        <v>52358</v>
      </c>
      <c r="G15" s="776">
        <v>51409</v>
      </c>
      <c r="H15" s="776">
        <v>54383</v>
      </c>
      <c r="I15" s="776">
        <v>55301</v>
      </c>
      <c r="J15" s="776">
        <v>55484</v>
      </c>
      <c r="K15" s="776">
        <v>55923</v>
      </c>
      <c r="L15" s="776">
        <v>53146</v>
      </c>
      <c r="M15" s="776">
        <v>51217</v>
      </c>
      <c r="N15" s="1101">
        <v>50606</v>
      </c>
      <c r="O15" s="1099"/>
    </row>
    <row r="16" spans="1:15">
      <c r="A16" s="525"/>
      <c r="B16" s="774" t="s">
        <v>373</v>
      </c>
      <c r="C16" s="776">
        <v>51241</v>
      </c>
      <c r="D16" s="776">
        <v>45425</v>
      </c>
      <c r="E16" s="776">
        <v>43898</v>
      </c>
      <c r="F16" s="776">
        <v>50750</v>
      </c>
      <c r="G16" s="776">
        <v>52397</v>
      </c>
      <c r="H16" s="776">
        <v>60308</v>
      </c>
      <c r="I16" s="776">
        <v>59289</v>
      </c>
      <c r="J16" s="776">
        <v>60104</v>
      </c>
      <c r="K16" s="776">
        <v>60588</v>
      </c>
      <c r="L16" s="776">
        <v>58746</v>
      </c>
      <c r="M16" s="776">
        <v>59314</v>
      </c>
      <c r="N16" s="1101">
        <v>61747</v>
      </c>
      <c r="O16" s="1099"/>
    </row>
    <row r="17" spans="1:15">
      <c r="A17" s="525"/>
      <c r="B17" s="774" t="s">
        <v>374</v>
      </c>
      <c r="C17" s="776">
        <v>76015</v>
      </c>
      <c r="D17" s="776">
        <v>67281</v>
      </c>
      <c r="E17" s="776">
        <v>64213</v>
      </c>
      <c r="F17" s="776">
        <v>71352</v>
      </c>
      <c r="G17" s="776">
        <v>67323</v>
      </c>
      <c r="H17" s="776">
        <v>70563</v>
      </c>
      <c r="I17" s="776">
        <v>70854</v>
      </c>
      <c r="J17" s="776">
        <v>71538</v>
      </c>
      <c r="K17" s="776">
        <v>69784</v>
      </c>
      <c r="L17" s="776">
        <v>65260</v>
      </c>
      <c r="M17" s="776">
        <v>57950</v>
      </c>
      <c r="N17" s="1101">
        <v>56234</v>
      </c>
      <c r="O17" s="1099"/>
    </row>
    <row r="18" spans="1:15">
      <c r="A18" s="525"/>
      <c r="B18" s="755" t="s">
        <v>375</v>
      </c>
      <c r="C18" s="756">
        <v>27629</v>
      </c>
      <c r="D18" s="756">
        <v>25262</v>
      </c>
      <c r="E18" s="756">
        <v>25286</v>
      </c>
      <c r="F18" s="756">
        <v>27220</v>
      </c>
      <c r="G18" s="756">
        <v>29665</v>
      </c>
      <c r="H18" s="756">
        <v>33546</v>
      </c>
      <c r="I18" s="756">
        <v>35511</v>
      </c>
      <c r="J18" s="756">
        <v>35569</v>
      </c>
      <c r="K18" s="756">
        <v>34175</v>
      </c>
      <c r="L18" s="756">
        <v>34615</v>
      </c>
      <c r="M18" s="756">
        <v>34165</v>
      </c>
      <c r="N18" s="1104">
        <v>31462</v>
      </c>
      <c r="O18" s="1099"/>
    </row>
    <row r="19" spans="1:15">
      <c r="A19" s="526"/>
      <c r="B19" s="526" t="s">
        <v>52</v>
      </c>
      <c r="C19" s="538">
        <f>SUM(C14:C18)</f>
        <v>326310</v>
      </c>
      <c r="D19" s="538">
        <f>SUM(D14:D18)</f>
        <v>295342</v>
      </c>
      <c r="E19" s="538">
        <f t="shared" ref="E19" si="2">SUM(E14:E18)</f>
        <v>287569</v>
      </c>
      <c r="F19" s="538">
        <f t="shared" ref="F19" si="3">SUM(F14:F18)</f>
        <v>309238</v>
      </c>
      <c r="G19" s="538">
        <f t="shared" ref="G19" si="4">SUM(G14:G18)</f>
        <v>303177</v>
      </c>
      <c r="H19" s="538">
        <f t="shared" ref="H19" si="5">SUM(H14:H18)</f>
        <v>316920</v>
      </c>
      <c r="I19" s="538">
        <f t="shared" ref="I19" si="6">SUM(I14:I18)</f>
        <v>316502</v>
      </c>
      <c r="J19" s="538">
        <f t="shared" ref="J19" si="7">SUM(J14:J18)</f>
        <v>317246</v>
      </c>
      <c r="K19" s="538">
        <f t="shared" ref="K19" si="8">SUM(K14:K18)</f>
        <v>312095</v>
      </c>
      <c r="L19" s="538">
        <f t="shared" ref="L19" si="9">SUM(L14:L18)</f>
        <v>299909</v>
      </c>
      <c r="M19" s="538">
        <v>286796</v>
      </c>
      <c r="N19" s="1167">
        <f>SUM(N14:N18)</f>
        <v>287421</v>
      </c>
      <c r="O19" s="1223"/>
    </row>
    <row r="20" spans="1:15">
      <c r="A20" s="534" t="s">
        <v>42</v>
      </c>
      <c r="B20" s="534" t="s">
        <v>371</v>
      </c>
      <c r="C20" s="603"/>
      <c r="D20" s="603">
        <v>64288</v>
      </c>
      <c r="E20" s="603">
        <v>66906</v>
      </c>
      <c r="F20" s="603">
        <v>71214</v>
      </c>
      <c r="G20" s="603">
        <v>71194</v>
      </c>
      <c r="H20" s="603">
        <v>72180</v>
      </c>
      <c r="I20" s="603">
        <v>68174</v>
      </c>
      <c r="J20" s="603">
        <v>64991</v>
      </c>
      <c r="K20" s="603">
        <v>66826</v>
      </c>
      <c r="L20" s="603">
        <v>71993</v>
      </c>
      <c r="M20" s="603">
        <v>74468</v>
      </c>
      <c r="N20" s="1108">
        <v>83077</v>
      </c>
      <c r="O20" s="1172">
        <v>87938</v>
      </c>
    </row>
    <row r="21" spans="1:15">
      <c r="A21" s="525"/>
      <c r="B21" s="774" t="s">
        <v>372</v>
      </c>
      <c r="C21" s="776"/>
      <c r="D21" s="776">
        <v>20445</v>
      </c>
      <c r="E21" s="776">
        <v>21099</v>
      </c>
      <c r="F21" s="776">
        <v>22248</v>
      </c>
      <c r="G21" s="776">
        <v>24609</v>
      </c>
      <c r="H21" s="776">
        <v>26746</v>
      </c>
      <c r="I21" s="776">
        <v>26296</v>
      </c>
      <c r="J21" s="776">
        <v>25188</v>
      </c>
      <c r="K21" s="776">
        <v>27534</v>
      </c>
      <c r="L21" s="776">
        <v>28475</v>
      </c>
      <c r="M21" s="776">
        <v>31124</v>
      </c>
      <c r="N21" s="1101">
        <v>32654</v>
      </c>
      <c r="O21" s="1173">
        <v>32811</v>
      </c>
    </row>
    <row r="22" spans="1:15">
      <c r="A22" s="525"/>
      <c r="B22" s="774" t="s">
        <v>373</v>
      </c>
      <c r="C22" s="776"/>
      <c r="D22" s="776">
        <v>35691</v>
      </c>
      <c r="E22" s="776">
        <v>36331</v>
      </c>
      <c r="F22" s="776">
        <v>40237</v>
      </c>
      <c r="G22" s="776">
        <v>42237</v>
      </c>
      <c r="H22" s="776">
        <v>42442</v>
      </c>
      <c r="I22" s="776">
        <v>42459</v>
      </c>
      <c r="J22" s="776">
        <v>43471</v>
      </c>
      <c r="K22" s="776">
        <v>44421</v>
      </c>
      <c r="L22" s="776">
        <v>45136</v>
      </c>
      <c r="M22" s="776">
        <v>45820</v>
      </c>
      <c r="N22" s="1101">
        <v>49101</v>
      </c>
      <c r="O22" s="1173">
        <v>48656</v>
      </c>
    </row>
    <row r="23" spans="1:15">
      <c r="A23" s="525"/>
      <c r="B23" s="774" t="s">
        <v>374</v>
      </c>
      <c r="C23" s="776"/>
      <c r="D23" s="776">
        <v>35899</v>
      </c>
      <c r="E23" s="776">
        <v>38419</v>
      </c>
      <c r="F23" s="776">
        <v>42416</v>
      </c>
      <c r="G23" s="776">
        <v>43724</v>
      </c>
      <c r="H23" s="776">
        <v>43442</v>
      </c>
      <c r="I23" s="776">
        <v>41877</v>
      </c>
      <c r="J23" s="776">
        <v>41216</v>
      </c>
      <c r="K23" s="776">
        <v>41384</v>
      </c>
      <c r="L23" s="776">
        <v>42514</v>
      </c>
      <c r="M23" s="776">
        <v>42240</v>
      </c>
      <c r="N23" s="1101">
        <v>42342</v>
      </c>
      <c r="O23" s="1173">
        <v>40122</v>
      </c>
    </row>
    <row r="24" spans="1:15">
      <c r="A24" s="525"/>
      <c r="B24" s="755" t="s">
        <v>375</v>
      </c>
      <c r="C24" s="756"/>
      <c r="D24" s="756">
        <v>17709</v>
      </c>
      <c r="E24" s="756">
        <v>19089</v>
      </c>
      <c r="F24" s="756">
        <v>20674</v>
      </c>
      <c r="G24" s="756">
        <v>20240</v>
      </c>
      <c r="H24" s="756">
        <v>22043</v>
      </c>
      <c r="I24" s="756">
        <v>21911</v>
      </c>
      <c r="J24" s="756">
        <v>21873</v>
      </c>
      <c r="K24" s="756">
        <v>29827</v>
      </c>
      <c r="L24" s="756">
        <v>30857</v>
      </c>
      <c r="M24" s="756">
        <v>25063</v>
      </c>
      <c r="N24" s="1104">
        <v>23623</v>
      </c>
      <c r="O24" s="1173">
        <v>20859</v>
      </c>
    </row>
    <row r="25" spans="1:15">
      <c r="A25" s="526"/>
      <c r="B25" s="526" t="s">
        <v>52</v>
      </c>
      <c r="C25" s="538">
        <f>SUM(C20:C24)</f>
        <v>0</v>
      </c>
      <c r="D25" s="538">
        <f>SUM(D20:D24)</f>
        <v>174032</v>
      </c>
      <c r="E25" s="538">
        <f t="shared" ref="E25" si="10">SUM(E20:E24)</f>
        <v>181844</v>
      </c>
      <c r="F25" s="538">
        <f t="shared" ref="F25" si="11">SUM(F20:F24)</f>
        <v>196789</v>
      </c>
      <c r="G25" s="538">
        <f t="shared" ref="G25" si="12">SUM(G20:G24)</f>
        <v>202004</v>
      </c>
      <c r="H25" s="538">
        <f t="shared" ref="H25" si="13">SUM(H20:H24)</f>
        <v>206853</v>
      </c>
      <c r="I25" s="538">
        <f t="shared" ref="I25" si="14">SUM(I20:I24)</f>
        <v>200717</v>
      </c>
      <c r="J25" s="538">
        <f t="shared" ref="J25" si="15">SUM(J20:J24)</f>
        <v>196739</v>
      </c>
      <c r="K25" s="538">
        <f t="shared" ref="K25" si="16">SUM(K20:K24)</f>
        <v>209992</v>
      </c>
      <c r="L25" s="538">
        <f t="shared" ref="L25" si="17">SUM(L20:L24)</f>
        <v>218975</v>
      </c>
      <c r="M25" s="538">
        <v>218715</v>
      </c>
      <c r="N25" s="1167">
        <f>SUM(N20:N24)</f>
        <v>230797</v>
      </c>
      <c r="O25" s="1167">
        <f>SUM(O20:O24)</f>
        <v>230386</v>
      </c>
    </row>
    <row r="26" spans="1:15">
      <c r="A26" s="534" t="s">
        <v>43</v>
      </c>
      <c r="B26" s="534" t="s">
        <v>371</v>
      </c>
      <c r="C26" s="603"/>
      <c r="D26" s="603">
        <v>131761</v>
      </c>
      <c r="E26" s="603">
        <v>176835</v>
      </c>
      <c r="F26" s="603">
        <v>207768</v>
      </c>
      <c r="G26" s="603">
        <v>190769</v>
      </c>
      <c r="H26" s="603">
        <v>208885</v>
      </c>
      <c r="I26" s="603">
        <v>231460</v>
      </c>
      <c r="J26" s="603">
        <v>327034</v>
      </c>
      <c r="K26" s="603">
        <v>415838</v>
      </c>
      <c r="L26" s="603">
        <v>437254</v>
      </c>
      <c r="M26" s="603">
        <v>473476</v>
      </c>
      <c r="N26" s="1108">
        <v>524237</v>
      </c>
      <c r="O26" s="1106">
        <v>594231</v>
      </c>
    </row>
    <row r="27" spans="1:15">
      <c r="A27" s="525"/>
      <c r="B27" s="774" t="s">
        <v>372</v>
      </c>
      <c r="C27" s="776"/>
      <c r="D27" s="776">
        <v>54448</v>
      </c>
      <c r="E27" s="776">
        <v>89264</v>
      </c>
      <c r="F27" s="776">
        <v>102235</v>
      </c>
      <c r="G27" s="776">
        <v>100863</v>
      </c>
      <c r="H27" s="776">
        <v>117475</v>
      </c>
      <c r="I27" s="776">
        <v>125524</v>
      </c>
      <c r="J27" s="776">
        <v>176032</v>
      </c>
      <c r="K27" s="776">
        <v>240587</v>
      </c>
      <c r="L27" s="776">
        <v>223144</v>
      </c>
      <c r="M27" s="776">
        <v>231016</v>
      </c>
      <c r="N27" s="1101">
        <v>253566</v>
      </c>
      <c r="O27" s="1099">
        <v>256744</v>
      </c>
    </row>
    <row r="28" spans="1:15">
      <c r="A28" s="525"/>
      <c r="B28" s="774" t="s">
        <v>373</v>
      </c>
      <c r="C28" s="776"/>
      <c r="D28" s="776">
        <v>134541</v>
      </c>
      <c r="E28" s="776">
        <v>211278</v>
      </c>
      <c r="F28" s="776">
        <v>234197</v>
      </c>
      <c r="G28" s="776">
        <v>243144</v>
      </c>
      <c r="H28" s="776">
        <v>292326</v>
      </c>
      <c r="I28" s="776">
        <v>290452</v>
      </c>
      <c r="J28" s="776">
        <v>376686</v>
      </c>
      <c r="K28" s="776">
        <v>468686</v>
      </c>
      <c r="L28" s="776">
        <v>343512</v>
      </c>
      <c r="M28" s="776">
        <v>329489</v>
      </c>
      <c r="N28" s="1101">
        <v>346556</v>
      </c>
      <c r="O28" s="1099">
        <v>323056</v>
      </c>
    </row>
    <row r="29" spans="1:15">
      <c r="A29" s="525"/>
      <c r="B29" s="774" t="s">
        <v>374</v>
      </c>
      <c r="C29" s="776"/>
      <c r="D29" s="776">
        <v>94720</v>
      </c>
      <c r="E29" s="776">
        <v>166496</v>
      </c>
      <c r="F29" s="776">
        <v>181842</v>
      </c>
      <c r="G29" s="776">
        <v>169710</v>
      </c>
      <c r="H29" s="776">
        <v>214689</v>
      </c>
      <c r="I29" s="776">
        <v>233187</v>
      </c>
      <c r="J29" s="776">
        <v>330059</v>
      </c>
      <c r="K29" s="776">
        <v>455849</v>
      </c>
      <c r="L29" s="776">
        <v>343588</v>
      </c>
      <c r="M29" s="776">
        <v>359194</v>
      </c>
      <c r="N29" s="1101">
        <v>360221</v>
      </c>
      <c r="O29" s="1099">
        <v>323511</v>
      </c>
    </row>
    <row r="30" spans="1:15">
      <c r="A30" s="525"/>
      <c r="B30" s="755" t="s">
        <v>375</v>
      </c>
      <c r="C30" s="756"/>
      <c r="D30" s="756">
        <v>35312</v>
      </c>
      <c r="E30" s="756">
        <v>62139</v>
      </c>
      <c r="F30" s="756">
        <v>69423</v>
      </c>
      <c r="G30" s="756">
        <v>62487</v>
      </c>
      <c r="H30" s="756">
        <v>75455</v>
      </c>
      <c r="I30" s="756">
        <v>95401</v>
      </c>
      <c r="J30" s="756">
        <v>163124</v>
      </c>
      <c r="K30" s="756">
        <v>171091</v>
      </c>
      <c r="L30" s="756">
        <v>120327</v>
      </c>
      <c r="M30" s="756">
        <v>130614</v>
      </c>
      <c r="N30" s="1104">
        <v>134369</v>
      </c>
      <c r="O30" s="1099">
        <v>134800</v>
      </c>
    </row>
    <row r="31" spans="1:15">
      <c r="A31" s="526"/>
      <c r="B31" s="526" t="s">
        <v>52</v>
      </c>
      <c r="C31" s="538">
        <f>SUM(C26:C30)</f>
        <v>0</v>
      </c>
      <c r="D31" s="538">
        <f>SUM(D26:D30)</f>
        <v>450782</v>
      </c>
      <c r="E31" s="538">
        <f t="shared" ref="E31" si="18">SUM(E26:E30)</f>
        <v>706012</v>
      </c>
      <c r="F31" s="538">
        <f t="shared" ref="F31" si="19">SUM(F26:F30)</f>
        <v>795465</v>
      </c>
      <c r="G31" s="538">
        <f t="shared" ref="G31" si="20">SUM(G26:G30)</f>
        <v>766973</v>
      </c>
      <c r="H31" s="538">
        <f t="shared" ref="H31" si="21">SUM(H26:H30)</f>
        <v>908830</v>
      </c>
      <c r="I31" s="538">
        <f t="shared" ref="I31" si="22">SUM(I26:I30)</f>
        <v>976024</v>
      </c>
      <c r="J31" s="538">
        <f t="shared" ref="J31" si="23">SUM(J26:J30)</f>
        <v>1372935</v>
      </c>
      <c r="K31" s="538">
        <f t="shared" ref="K31" si="24">SUM(K26:K30)</f>
        <v>1752051</v>
      </c>
      <c r="L31" s="538">
        <f t="shared" ref="L31" si="25">SUM(L26:L30)</f>
        <v>1467825</v>
      </c>
      <c r="M31" s="538">
        <v>1523789</v>
      </c>
      <c r="N31" s="1167">
        <f>SUM(N26:N30)</f>
        <v>1618949</v>
      </c>
      <c r="O31" s="1223">
        <f>SUM(O26:O30)</f>
        <v>1632342</v>
      </c>
    </row>
    <row r="32" spans="1:15">
      <c r="A32" s="525" t="s">
        <v>44</v>
      </c>
      <c r="B32" s="525" t="s">
        <v>371</v>
      </c>
      <c r="C32" s="536"/>
      <c r="D32" s="536">
        <v>232044</v>
      </c>
      <c r="E32" s="536">
        <v>256486</v>
      </c>
      <c r="F32" s="536">
        <v>256829</v>
      </c>
      <c r="G32" s="536">
        <v>241112</v>
      </c>
      <c r="H32" s="536">
        <v>263836</v>
      </c>
      <c r="I32" s="536">
        <v>282191</v>
      </c>
      <c r="J32" s="536">
        <v>269323</v>
      </c>
      <c r="K32" s="536">
        <v>261741</v>
      </c>
      <c r="L32" s="536">
        <v>272440</v>
      </c>
      <c r="M32" s="536">
        <v>262622</v>
      </c>
      <c r="N32" s="1166">
        <v>260452</v>
      </c>
      <c r="O32" s="1106">
        <v>260768</v>
      </c>
    </row>
    <row r="33" spans="1:80">
      <c r="A33" s="525"/>
      <c r="B33" s="774" t="s">
        <v>372</v>
      </c>
      <c r="C33" s="776"/>
      <c r="D33" s="776">
        <v>72017</v>
      </c>
      <c r="E33" s="776">
        <v>75156</v>
      </c>
      <c r="F33" s="776">
        <v>82398</v>
      </c>
      <c r="G33" s="776">
        <v>84467</v>
      </c>
      <c r="H33" s="776">
        <v>91191</v>
      </c>
      <c r="I33" s="776">
        <v>98449</v>
      </c>
      <c r="J33" s="776">
        <v>100475</v>
      </c>
      <c r="K33" s="776">
        <v>102636</v>
      </c>
      <c r="L33" s="776">
        <v>104275</v>
      </c>
      <c r="M33" s="776">
        <v>101945</v>
      </c>
      <c r="N33" s="1101">
        <v>101493</v>
      </c>
      <c r="O33" s="1099">
        <v>98486</v>
      </c>
    </row>
    <row r="34" spans="1:80">
      <c r="A34" s="525"/>
      <c r="B34" s="774" t="s">
        <v>373</v>
      </c>
      <c r="C34" s="776"/>
      <c r="D34" s="776">
        <v>83844</v>
      </c>
      <c r="E34" s="776">
        <v>84257</v>
      </c>
      <c r="F34" s="776">
        <v>82051</v>
      </c>
      <c r="G34" s="776">
        <v>83702</v>
      </c>
      <c r="H34" s="776">
        <v>88318</v>
      </c>
      <c r="I34" s="776">
        <v>90698</v>
      </c>
      <c r="J34" s="776">
        <v>87771</v>
      </c>
      <c r="K34" s="776">
        <v>88932</v>
      </c>
      <c r="L34" s="776">
        <v>86621</v>
      </c>
      <c r="M34" s="776">
        <v>87758</v>
      </c>
      <c r="N34" s="1101">
        <v>89140</v>
      </c>
      <c r="O34" s="1099">
        <v>83984</v>
      </c>
    </row>
    <row r="35" spans="1:80">
      <c r="A35" s="525"/>
      <c r="B35" s="774" t="s">
        <v>374</v>
      </c>
      <c r="C35" s="776"/>
      <c r="D35" s="776">
        <v>67462</v>
      </c>
      <c r="E35" s="776">
        <v>69585</v>
      </c>
      <c r="F35" s="776">
        <v>69097</v>
      </c>
      <c r="G35" s="776">
        <v>71945</v>
      </c>
      <c r="H35" s="776">
        <v>80464</v>
      </c>
      <c r="I35" s="776">
        <v>89014</v>
      </c>
      <c r="J35" s="776">
        <v>88143</v>
      </c>
      <c r="K35" s="776">
        <v>88696</v>
      </c>
      <c r="L35" s="776">
        <v>87433</v>
      </c>
      <c r="M35" s="776">
        <v>83346</v>
      </c>
      <c r="N35" s="1101">
        <v>81744</v>
      </c>
      <c r="O35" s="1099">
        <v>79821</v>
      </c>
    </row>
    <row r="36" spans="1:80">
      <c r="A36" s="525"/>
      <c r="B36" s="775" t="s">
        <v>375</v>
      </c>
      <c r="C36" s="777"/>
      <c r="D36" s="777">
        <v>28550</v>
      </c>
      <c r="E36" s="777">
        <v>29164</v>
      </c>
      <c r="F36" s="777">
        <v>29333</v>
      </c>
      <c r="G36" s="777">
        <v>30911</v>
      </c>
      <c r="H36" s="777">
        <v>33863</v>
      </c>
      <c r="I36" s="777">
        <v>35889</v>
      </c>
      <c r="J36" s="777">
        <v>35597</v>
      </c>
      <c r="K36" s="777">
        <v>55136</v>
      </c>
      <c r="L36" s="777">
        <v>70684</v>
      </c>
      <c r="M36" s="777">
        <v>34408</v>
      </c>
      <c r="N36" s="1231">
        <v>34225</v>
      </c>
      <c r="O36" s="1099">
        <v>32177</v>
      </c>
    </row>
    <row r="37" spans="1:80">
      <c r="A37" s="526"/>
      <c r="B37" s="526" t="s">
        <v>52</v>
      </c>
      <c r="C37" s="538">
        <f>SUM(C32:C36)</f>
        <v>0</v>
      </c>
      <c r="D37" s="538">
        <f>SUM(D32:D36)</f>
        <v>483917</v>
      </c>
      <c r="E37" s="538">
        <f t="shared" ref="E37" si="26">SUM(E32:E36)</f>
        <v>514648</v>
      </c>
      <c r="F37" s="538">
        <f t="shared" ref="F37" si="27">SUM(F32:F36)</f>
        <v>519708</v>
      </c>
      <c r="G37" s="538">
        <f t="shared" ref="G37" si="28">SUM(G32:G36)</f>
        <v>512137</v>
      </c>
      <c r="H37" s="538">
        <f t="shared" ref="H37" si="29">SUM(H32:H36)</f>
        <v>557672</v>
      </c>
      <c r="I37" s="538">
        <f t="shared" ref="I37" si="30">SUM(I32:I36)</f>
        <v>596241</v>
      </c>
      <c r="J37" s="538">
        <f t="shared" ref="J37" si="31">SUM(J32:J36)</f>
        <v>581309</v>
      </c>
      <c r="K37" s="538">
        <f t="shared" ref="K37" si="32">SUM(K32:K36)</f>
        <v>597141</v>
      </c>
      <c r="L37" s="538">
        <f t="shared" ref="L37" si="33">SUM(L32:L36)</f>
        <v>621453</v>
      </c>
      <c r="M37" s="538">
        <v>570079</v>
      </c>
      <c r="N37" s="1167">
        <v>567054</v>
      </c>
      <c r="O37" s="1223">
        <f>SUM(O32:O36)</f>
        <v>555236</v>
      </c>
    </row>
    <row r="38" spans="1:80">
      <c r="N38" s="1086"/>
      <c r="O38" s="1086"/>
    </row>
    <row r="39" spans="1:80">
      <c r="N39" s="1086"/>
      <c r="O39" s="1086"/>
    </row>
    <row r="40" spans="1:80">
      <c r="I40" s="566"/>
      <c r="N40" s="1086"/>
      <c r="O40" s="1086"/>
    </row>
    <row r="41" spans="1:80">
      <c r="A41" s="534" t="s">
        <v>34</v>
      </c>
      <c r="B41" s="534" t="s">
        <v>369</v>
      </c>
      <c r="C41" s="534">
        <v>2010</v>
      </c>
      <c r="D41" s="534">
        <f>C41+1</f>
        <v>2011</v>
      </c>
      <c r="E41" s="534">
        <f t="shared" ref="E41" si="34">D41+1</f>
        <v>2012</v>
      </c>
      <c r="F41" s="534">
        <f t="shared" ref="F41" si="35">E41+1</f>
        <v>2013</v>
      </c>
      <c r="G41" s="534">
        <f t="shared" ref="G41" si="36">F41+1</f>
        <v>2014</v>
      </c>
      <c r="H41" s="534">
        <f t="shared" ref="H41" si="37">G41+1</f>
        <v>2015</v>
      </c>
      <c r="I41" s="534">
        <f t="shared" ref="I41" si="38">H41+1</f>
        <v>2016</v>
      </c>
      <c r="J41" s="534">
        <f t="shared" ref="J41" si="39">I41+1</f>
        <v>2017</v>
      </c>
      <c r="K41" s="534">
        <f t="shared" ref="K41" si="40">J41+1</f>
        <v>2018</v>
      </c>
      <c r="L41" s="534">
        <f t="shared" ref="L41" si="41">K41+1</f>
        <v>2019</v>
      </c>
      <c r="M41" s="534">
        <f t="shared" ref="M41" si="42">L41+1</f>
        <v>2020</v>
      </c>
      <c r="N41" s="1106">
        <f t="shared" ref="N41" si="43">M41+1</f>
        <v>2021</v>
      </c>
      <c r="O41" s="1187">
        <v>2022</v>
      </c>
    </row>
    <row r="42" spans="1:80">
      <c r="A42" s="534" t="s">
        <v>36</v>
      </c>
      <c r="B42" s="534" t="s">
        <v>371</v>
      </c>
      <c r="C42" s="603"/>
      <c r="D42" s="752">
        <f>D8/D13</f>
        <v>0.28260255211843222</v>
      </c>
      <c r="E42" s="752">
        <f t="shared" ref="E42:N42" si="44">E8/E13</f>
        <v>0.2912617975491768</v>
      </c>
      <c r="F42" s="752">
        <f t="shared" si="44"/>
        <v>0.28714503649684969</v>
      </c>
      <c r="G42" s="752">
        <f t="shared" si="44"/>
        <v>0.28904465621800424</v>
      </c>
      <c r="H42" s="752">
        <f t="shared" si="44"/>
        <v>0.28454938310264921</v>
      </c>
      <c r="I42" s="752">
        <f t="shared" si="44"/>
        <v>0.28401034228952121</v>
      </c>
      <c r="J42" s="752">
        <f t="shared" si="44"/>
        <v>0.28759040154930854</v>
      </c>
      <c r="K42" s="752">
        <f t="shared" si="44"/>
        <v>0.27757176999214817</v>
      </c>
      <c r="L42" s="752">
        <f t="shared" si="44"/>
        <v>0.29241039436402322</v>
      </c>
      <c r="M42" s="752">
        <f t="shared" si="44"/>
        <v>0.29850323669512885</v>
      </c>
      <c r="N42" s="1107">
        <f t="shared" si="44"/>
        <v>0.31070060513327274</v>
      </c>
      <c r="O42" s="1230">
        <v>0.33</v>
      </c>
      <c r="P42" s="1111"/>
    </row>
    <row r="43" spans="1:80">
      <c r="A43" s="525"/>
      <c r="B43" s="774" t="s">
        <v>372</v>
      </c>
      <c r="C43" s="776"/>
      <c r="D43" s="555">
        <f>D9/D13</f>
        <v>0.16816301094903735</v>
      </c>
      <c r="E43" s="555">
        <f t="shared" ref="E43:N43" si="45">E9/E13</f>
        <v>0.16338821430065104</v>
      </c>
      <c r="F43" s="555">
        <f t="shared" si="45"/>
        <v>0.16393139823638467</v>
      </c>
      <c r="G43" s="555">
        <f t="shared" si="45"/>
        <v>0.16673886219841957</v>
      </c>
      <c r="H43" s="555">
        <f t="shared" si="45"/>
        <v>0.17200475981712282</v>
      </c>
      <c r="I43" s="555">
        <f t="shared" si="45"/>
        <v>0.17030806686000793</v>
      </c>
      <c r="J43" s="555">
        <f t="shared" si="45"/>
        <v>0.17697824310830029</v>
      </c>
      <c r="K43" s="555">
        <f t="shared" si="45"/>
        <v>0.17764684980026479</v>
      </c>
      <c r="L43" s="555">
        <f t="shared" si="45"/>
        <v>0.17635579859541581</v>
      </c>
      <c r="M43" s="555">
        <f t="shared" si="45"/>
        <v>0.18166020808118941</v>
      </c>
      <c r="N43" s="1102">
        <f t="shared" si="45"/>
        <v>0.17738533547972352</v>
      </c>
      <c r="O43" s="1207">
        <v>0.18</v>
      </c>
      <c r="P43" s="1109"/>
    </row>
    <row r="44" spans="1:80">
      <c r="A44" s="525"/>
      <c r="B44" s="774" t="s">
        <v>373</v>
      </c>
      <c r="C44" s="776"/>
      <c r="D44" s="555">
        <f>D10/D13</f>
        <v>0.26065375390390066</v>
      </c>
      <c r="E44" s="555">
        <f t="shared" ref="E44:N44" si="46">E10/E13</f>
        <v>0.25426245277495085</v>
      </c>
      <c r="F44" s="555">
        <f t="shared" si="46"/>
        <v>0.25391819506488711</v>
      </c>
      <c r="G44" s="555">
        <f t="shared" si="46"/>
        <v>0.25238245254784597</v>
      </c>
      <c r="H44" s="555">
        <f t="shared" si="46"/>
        <v>0.24783616208429887</v>
      </c>
      <c r="I44" s="555">
        <f t="shared" si="46"/>
        <v>0.24394969772079592</v>
      </c>
      <c r="J44" s="555">
        <f t="shared" si="46"/>
        <v>0.24241837383121009</v>
      </c>
      <c r="K44" s="555">
        <f t="shared" si="46"/>
        <v>0.24819894429765993</v>
      </c>
      <c r="L44" s="555">
        <f t="shared" si="46"/>
        <v>0.24189387341102278</v>
      </c>
      <c r="M44" s="555">
        <f t="shared" si="46"/>
        <v>0.24728794927882214</v>
      </c>
      <c r="N44" s="1102">
        <f t="shared" si="46"/>
        <v>0.2469198769544636</v>
      </c>
      <c r="O44" s="1207">
        <v>0.24</v>
      </c>
      <c r="P44" s="1109"/>
    </row>
    <row r="45" spans="1:80" s="1086" customFormat="1">
      <c r="A45" s="1099"/>
      <c r="B45" s="1100" t="s">
        <v>374</v>
      </c>
      <c r="C45" s="1101"/>
      <c r="D45" s="1102">
        <f>D11/D13</f>
        <v>0.21696629783410507</v>
      </c>
      <c r="E45" s="1102">
        <f t="shared" ref="E45:N45" si="47">E11/E13</f>
        <v>0.22342501847179044</v>
      </c>
      <c r="F45" s="1102">
        <f t="shared" si="47"/>
        <v>0.22439234626514432</v>
      </c>
      <c r="G45" s="1102">
        <f t="shared" si="47"/>
        <v>0.22203407629098737</v>
      </c>
      <c r="H45" s="1102">
        <f t="shared" si="47"/>
        <v>0.22556522828333439</v>
      </c>
      <c r="I45" s="1102">
        <f t="shared" si="47"/>
        <v>0.23307267911851484</v>
      </c>
      <c r="J45" s="1102">
        <f t="shared" si="47"/>
        <v>0.2227252095500348</v>
      </c>
      <c r="K45" s="1102">
        <f t="shared" si="47"/>
        <v>0.22187516119233613</v>
      </c>
      <c r="L45" s="1102">
        <f t="shared" si="47"/>
        <v>0.21647575052644344</v>
      </c>
      <c r="M45" s="1102">
        <f t="shared" si="47"/>
        <v>0.20330664771654766</v>
      </c>
      <c r="N45" s="1102">
        <f t="shared" si="47"/>
        <v>0.19748383566301675</v>
      </c>
      <c r="O45" s="1207">
        <v>0.19</v>
      </c>
      <c r="P45" s="1110"/>
      <c r="Q45" s="1098"/>
      <c r="R45" s="1098"/>
      <c r="S45" s="1098"/>
      <c r="T45" s="1098"/>
      <c r="U45" s="1098"/>
      <c r="V45" s="1098"/>
      <c r="W45" s="1098"/>
      <c r="X45" s="1098"/>
      <c r="Y45" s="1098"/>
      <c r="Z45" s="1098"/>
      <c r="AA45" s="1098"/>
      <c r="AB45" s="1098"/>
      <c r="AC45" s="1098"/>
      <c r="AD45" s="1098"/>
      <c r="AE45" s="1098"/>
      <c r="AF45" s="1098"/>
      <c r="AG45" s="1098"/>
      <c r="AH45" s="1098"/>
      <c r="AI45" s="1098"/>
      <c r="AJ45" s="1098"/>
      <c r="AK45" s="1098"/>
      <c r="AL45" s="1098"/>
      <c r="AM45" s="1098"/>
      <c r="AN45" s="1098"/>
      <c r="AO45" s="1098"/>
      <c r="AP45" s="1098"/>
      <c r="AQ45" s="1098"/>
      <c r="AR45" s="1098"/>
      <c r="AS45" s="1098"/>
      <c r="AT45" s="1098"/>
      <c r="AU45" s="1098"/>
      <c r="AV45" s="1098"/>
      <c r="AW45" s="1098"/>
      <c r="AX45" s="1098"/>
      <c r="AY45" s="1098"/>
      <c r="AZ45" s="1098"/>
      <c r="BA45" s="1098"/>
      <c r="BB45" s="1098"/>
      <c r="BC45" s="1098"/>
      <c r="BD45" s="1098"/>
      <c r="BE45" s="1098"/>
      <c r="BF45" s="1098"/>
      <c r="BG45" s="1098"/>
      <c r="BH45" s="1098"/>
      <c r="BI45" s="1098"/>
      <c r="BJ45" s="1098"/>
      <c r="BK45" s="1098"/>
      <c r="BL45" s="1098"/>
      <c r="BM45" s="1098"/>
      <c r="BN45" s="1098"/>
      <c r="BO45" s="1098"/>
      <c r="BP45" s="1098"/>
      <c r="BQ45" s="1098"/>
      <c r="BR45" s="1098"/>
      <c r="BS45" s="1098"/>
      <c r="BT45" s="1098"/>
      <c r="BU45" s="1098"/>
      <c r="BV45" s="1098"/>
      <c r="BW45" s="1098"/>
      <c r="BX45" s="1098"/>
      <c r="BY45" s="1098"/>
      <c r="BZ45" s="1098"/>
      <c r="CA45" s="1098"/>
      <c r="CB45" s="1098"/>
    </row>
    <row r="46" spans="1:80" s="1086" customFormat="1">
      <c r="A46" s="1099"/>
      <c r="B46" s="1103" t="s">
        <v>375</v>
      </c>
      <c r="C46" s="1104"/>
      <c r="D46" s="1105">
        <f>D12/D13</f>
        <v>7.161438519452476E-2</v>
      </c>
      <c r="E46" s="1105">
        <f t="shared" ref="E46:N46" si="48">E12/E13</f>
        <v>6.7662516903430878E-2</v>
      </c>
      <c r="F46" s="1105">
        <f t="shared" si="48"/>
        <v>7.0613023936734229E-2</v>
      </c>
      <c r="G46" s="1105">
        <f t="shared" si="48"/>
        <v>6.9799952744742849E-2</v>
      </c>
      <c r="H46" s="1105">
        <f t="shared" si="48"/>
        <v>7.0044466712594733E-2</v>
      </c>
      <c r="I46" s="1105">
        <f t="shared" si="48"/>
        <v>6.8659214011160111E-2</v>
      </c>
      <c r="J46" s="1105">
        <f t="shared" si="48"/>
        <v>7.0287771961146245E-2</v>
      </c>
      <c r="K46" s="1105">
        <f t="shared" si="48"/>
        <v>7.4707274717591032E-2</v>
      </c>
      <c r="L46" s="1105">
        <f t="shared" si="48"/>
        <v>7.2864183103094712E-2</v>
      </c>
      <c r="M46" s="1105">
        <f t="shared" si="48"/>
        <v>6.9241958228311917E-2</v>
      </c>
      <c r="N46" s="1105">
        <f t="shared" si="48"/>
        <v>6.9183893573048993E-2</v>
      </c>
      <c r="O46" s="1208">
        <v>0.06</v>
      </c>
      <c r="P46" s="1110"/>
      <c r="Q46" s="846" t="s">
        <v>36</v>
      </c>
      <c r="R46" s="836"/>
      <c r="S46" s="836"/>
      <c r="T46" s="836"/>
      <c r="U46" s="836"/>
      <c r="V46" s="836"/>
      <c r="W46" s="836"/>
      <c r="X46" s="836"/>
      <c r="Y46" s="836"/>
      <c r="Z46" s="836"/>
      <c r="AA46" s="836"/>
      <c r="AB46" s="836"/>
      <c r="AC46" s="836"/>
      <c r="AD46" s="836" t="s">
        <v>38</v>
      </c>
      <c r="AE46" s="836"/>
      <c r="AF46" s="836"/>
      <c r="AG46" s="836"/>
      <c r="AH46" s="836"/>
      <c r="AI46" s="836"/>
      <c r="AJ46" s="836"/>
      <c r="AK46" s="836"/>
      <c r="AL46" s="836"/>
      <c r="AM46" s="836"/>
      <c r="AN46" s="836"/>
      <c r="AO46" s="836"/>
      <c r="AP46" s="836"/>
      <c r="AQ46" s="836" t="s">
        <v>42</v>
      </c>
      <c r="AR46" s="836"/>
      <c r="AS46" s="836"/>
      <c r="AT46" s="836"/>
      <c r="AU46" s="836"/>
      <c r="AV46" s="836"/>
      <c r="AW46" s="836"/>
      <c r="AX46" s="836"/>
      <c r="AY46" s="836"/>
      <c r="AZ46" s="836"/>
      <c r="BA46" s="836"/>
      <c r="BB46" s="836"/>
      <c r="BC46" s="836"/>
      <c r="BD46" s="836" t="s">
        <v>43</v>
      </c>
      <c r="BE46" s="836"/>
      <c r="BF46" s="836"/>
      <c r="BG46" s="836"/>
      <c r="BH46" s="836"/>
      <c r="BI46" s="836"/>
      <c r="BJ46" s="836"/>
      <c r="BK46" s="836"/>
      <c r="BL46" s="836"/>
      <c r="BM46" s="836"/>
      <c r="BN46" s="836"/>
      <c r="BO46" s="836"/>
      <c r="BP46" s="836"/>
      <c r="BQ46" s="836" t="s">
        <v>44</v>
      </c>
      <c r="BR46" s="836"/>
      <c r="BS46" s="836"/>
      <c r="BT46" s="836"/>
      <c r="BU46" s="836"/>
      <c r="BV46" s="836"/>
      <c r="BW46" s="836"/>
      <c r="BX46" s="836"/>
      <c r="BY46" s="836"/>
      <c r="BZ46" s="836"/>
      <c r="CA46" s="836"/>
      <c r="CB46" s="837"/>
    </row>
    <row r="47" spans="1:80" s="1086" customFormat="1">
      <c r="A47" s="1106" t="s">
        <v>38</v>
      </c>
      <c r="B47" s="1106" t="s">
        <v>371</v>
      </c>
      <c r="C47" s="1107">
        <f>C14/C19</f>
        <v>0.3520118905335417</v>
      </c>
      <c r="D47" s="1107">
        <f>D14/D19</f>
        <v>0.35884838593901308</v>
      </c>
      <c r="E47" s="1107">
        <f t="shared" ref="E47:M47" si="49">E14/E19</f>
        <v>0.35828966265487588</v>
      </c>
      <c r="F47" s="1107">
        <f t="shared" si="49"/>
        <v>0.34781624509277642</v>
      </c>
      <c r="G47" s="1107">
        <f t="shared" si="49"/>
        <v>0.33770041922705218</v>
      </c>
      <c r="H47" s="1107">
        <f t="shared" si="49"/>
        <v>0.30960494762085067</v>
      </c>
      <c r="I47" s="1107">
        <f t="shared" si="49"/>
        <v>0.30188434828215938</v>
      </c>
      <c r="J47" s="1107">
        <f t="shared" si="49"/>
        <v>0.29803685468059488</v>
      </c>
      <c r="K47" s="1107">
        <f t="shared" si="49"/>
        <v>0.29358048030247202</v>
      </c>
      <c r="L47" s="1107">
        <f t="shared" si="49"/>
        <v>0.29389581506390272</v>
      </c>
      <c r="M47" s="1107">
        <f t="shared" si="49"/>
        <v>0.29341413408834155</v>
      </c>
      <c r="N47" s="1107"/>
      <c r="O47" s="1230">
        <v>0.3</v>
      </c>
      <c r="P47" s="1110"/>
      <c r="Q47" s="847">
        <f t="shared" ref="Q47:AA47" si="50">D7</f>
        <v>2011</v>
      </c>
      <c r="R47" s="834">
        <f t="shared" si="50"/>
        <v>2012</v>
      </c>
      <c r="S47" s="834">
        <f t="shared" si="50"/>
        <v>2013</v>
      </c>
      <c r="T47" s="834">
        <f t="shared" si="50"/>
        <v>2014</v>
      </c>
      <c r="U47" s="834">
        <f t="shared" si="50"/>
        <v>2015</v>
      </c>
      <c r="V47" s="834">
        <f t="shared" si="50"/>
        <v>2016</v>
      </c>
      <c r="W47" s="834">
        <f t="shared" si="50"/>
        <v>2017</v>
      </c>
      <c r="X47" s="834">
        <f t="shared" si="50"/>
        <v>2018</v>
      </c>
      <c r="Y47" s="834">
        <f t="shared" si="50"/>
        <v>2019</v>
      </c>
      <c r="Z47" s="834">
        <f t="shared" si="50"/>
        <v>2020</v>
      </c>
      <c r="AA47" s="834">
        <f t="shared" si="50"/>
        <v>2021</v>
      </c>
      <c r="AB47" s="834">
        <v>2022</v>
      </c>
      <c r="AC47" s="834"/>
      <c r="AD47" s="834">
        <f t="shared" ref="AD47:AN47" si="51">Q47</f>
        <v>2011</v>
      </c>
      <c r="AE47" s="834">
        <f t="shared" si="51"/>
        <v>2012</v>
      </c>
      <c r="AF47" s="834">
        <f t="shared" si="51"/>
        <v>2013</v>
      </c>
      <c r="AG47" s="834">
        <f t="shared" si="51"/>
        <v>2014</v>
      </c>
      <c r="AH47" s="834">
        <f t="shared" si="51"/>
        <v>2015</v>
      </c>
      <c r="AI47" s="834">
        <f t="shared" si="51"/>
        <v>2016</v>
      </c>
      <c r="AJ47" s="834">
        <f t="shared" si="51"/>
        <v>2017</v>
      </c>
      <c r="AK47" s="834">
        <f t="shared" si="51"/>
        <v>2018</v>
      </c>
      <c r="AL47" s="834">
        <f t="shared" si="51"/>
        <v>2019</v>
      </c>
      <c r="AM47" s="834">
        <f t="shared" si="51"/>
        <v>2020</v>
      </c>
      <c r="AN47" s="834">
        <f t="shared" si="51"/>
        <v>2021</v>
      </c>
      <c r="AO47" s="834">
        <v>2022</v>
      </c>
      <c r="AP47" s="834"/>
      <c r="AQ47" s="834">
        <f t="shared" ref="AQ47:BA47" si="52">AD47</f>
        <v>2011</v>
      </c>
      <c r="AR47" s="834">
        <f t="shared" si="52"/>
        <v>2012</v>
      </c>
      <c r="AS47" s="834">
        <f t="shared" si="52"/>
        <v>2013</v>
      </c>
      <c r="AT47" s="834">
        <f t="shared" si="52"/>
        <v>2014</v>
      </c>
      <c r="AU47" s="834">
        <f t="shared" si="52"/>
        <v>2015</v>
      </c>
      <c r="AV47" s="834">
        <f t="shared" si="52"/>
        <v>2016</v>
      </c>
      <c r="AW47" s="834">
        <f t="shared" si="52"/>
        <v>2017</v>
      </c>
      <c r="AX47" s="834">
        <f t="shared" si="52"/>
        <v>2018</v>
      </c>
      <c r="AY47" s="834">
        <f t="shared" si="52"/>
        <v>2019</v>
      </c>
      <c r="AZ47" s="834">
        <f t="shared" si="52"/>
        <v>2020</v>
      </c>
      <c r="BA47" s="834">
        <f t="shared" si="52"/>
        <v>2021</v>
      </c>
      <c r="BB47" s="834">
        <v>2022</v>
      </c>
      <c r="BC47" s="834"/>
      <c r="BD47" s="834">
        <f t="shared" ref="BD47:BL47" si="53">AQ47</f>
        <v>2011</v>
      </c>
      <c r="BE47" s="834">
        <f t="shared" si="53"/>
        <v>2012</v>
      </c>
      <c r="BF47" s="834">
        <f t="shared" si="53"/>
        <v>2013</v>
      </c>
      <c r="BG47" s="834">
        <f t="shared" si="53"/>
        <v>2014</v>
      </c>
      <c r="BH47" s="834">
        <f t="shared" si="53"/>
        <v>2015</v>
      </c>
      <c r="BI47" s="834">
        <f t="shared" si="53"/>
        <v>2016</v>
      </c>
      <c r="BJ47" s="834">
        <f t="shared" si="53"/>
        <v>2017</v>
      </c>
      <c r="BK47" s="834">
        <f t="shared" si="53"/>
        <v>2018</v>
      </c>
      <c r="BL47" s="834">
        <f t="shared" si="53"/>
        <v>2019</v>
      </c>
      <c r="BM47" s="834">
        <f t="shared" ref="BM47" si="54">AZ47</f>
        <v>2020</v>
      </c>
      <c r="BN47" s="834">
        <f t="shared" ref="BN47" si="55">BA47</f>
        <v>2021</v>
      </c>
      <c r="BO47" s="834">
        <v>2022</v>
      </c>
      <c r="BP47" s="834"/>
      <c r="BQ47" s="834">
        <f>BD47</f>
        <v>2011</v>
      </c>
      <c r="BR47" s="834">
        <f t="shared" ref="BR47" si="56">BE47</f>
        <v>2012</v>
      </c>
      <c r="BS47" s="834">
        <f t="shared" ref="BS47" si="57">BF47</f>
        <v>2013</v>
      </c>
      <c r="BT47" s="834">
        <f t="shared" ref="BT47" si="58">BG47</f>
        <v>2014</v>
      </c>
      <c r="BU47" s="834">
        <f t="shared" ref="BU47" si="59">BH47</f>
        <v>2015</v>
      </c>
      <c r="BV47" s="834">
        <f t="shared" ref="BV47" si="60">BI47</f>
        <v>2016</v>
      </c>
      <c r="BW47" s="834">
        <f t="shared" ref="BW47" si="61">BJ47</f>
        <v>2017</v>
      </c>
      <c r="BX47" s="834">
        <f t="shared" ref="BX47" si="62">BK47</f>
        <v>2018</v>
      </c>
      <c r="BY47" s="834">
        <f t="shared" ref="BY47" si="63">BL47</f>
        <v>2019</v>
      </c>
      <c r="BZ47" s="834">
        <f t="shared" ref="BZ47" si="64">BM47</f>
        <v>2020</v>
      </c>
      <c r="CA47" s="834">
        <f t="shared" ref="CA47" si="65">BN47</f>
        <v>2021</v>
      </c>
      <c r="CB47" s="839">
        <v>2022</v>
      </c>
    </row>
    <row r="48" spans="1:80" s="1086" customFormat="1">
      <c r="A48" s="1099"/>
      <c r="B48" s="1100" t="s">
        <v>372</v>
      </c>
      <c r="C48" s="1102">
        <f>C15/C19</f>
        <v>0.17333210750513314</v>
      </c>
      <c r="D48" s="1102">
        <f>D15/D19</f>
        <v>0.1740050517704898</v>
      </c>
      <c r="E48" s="1102">
        <f t="shared" ref="E48:M48" si="66">E15/E19</f>
        <v>0.1778321029039987</v>
      </c>
      <c r="F48" s="1102">
        <f t="shared" si="66"/>
        <v>0.16931295636370691</v>
      </c>
      <c r="G48" s="1102">
        <f t="shared" si="66"/>
        <v>0.16956761231887643</v>
      </c>
      <c r="H48" s="1102">
        <f t="shared" si="66"/>
        <v>0.17159851066515208</v>
      </c>
      <c r="I48" s="1102">
        <f t="shared" si="66"/>
        <v>0.17472559415106381</v>
      </c>
      <c r="J48" s="1102">
        <f t="shared" si="66"/>
        <v>0.17489267004154505</v>
      </c>
      <c r="K48" s="1102">
        <f t="shared" si="66"/>
        <v>0.17918582482897835</v>
      </c>
      <c r="L48" s="1102">
        <f t="shared" si="66"/>
        <v>0.17720708614946534</v>
      </c>
      <c r="M48" s="1102">
        <f t="shared" si="66"/>
        <v>0.17858338331078535</v>
      </c>
      <c r="N48" s="1102"/>
      <c r="O48" s="1207">
        <v>0.18</v>
      </c>
      <c r="P48" s="1110"/>
      <c r="Q48" s="889">
        <f t="shared" ref="Q48:AB48" si="67">D8/D13</f>
        <v>0.28260255211843222</v>
      </c>
      <c r="R48" s="890">
        <f t="shared" si="67"/>
        <v>0.2912617975491768</v>
      </c>
      <c r="S48" s="890">
        <f t="shared" si="67"/>
        <v>0.28714503649684969</v>
      </c>
      <c r="T48" s="890">
        <f t="shared" si="67"/>
        <v>0.28904465621800424</v>
      </c>
      <c r="U48" s="890">
        <f t="shared" si="67"/>
        <v>0.28454938310264921</v>
      </c>
      <c r="V48" s="890">
        <f t="shared" si="67"/>
        <v>0.28401034228952121</v>
      </c>
      <c r="W48" s="890">
        <f t="shared" si="67"/>
        <v>0.28759040154930854</v>
      </c>
      <c r="X48" s="890">
        <f t="shared" si="67"/>
        <v>0.27757176999214817</v>
      </c>
      <c r="Y48" s="890">
        <f t="shared" si="67"/>
        <v>0.29241039436402322</v>
      </c>
      <c r="Z48" s="890">
        <f t="shared" si="67"/>
        <v>0.29850323669512885</v>
      </c>
      <c r="AA48" s="890">
        <f t="shared" si="67"/>
        <v>0.31070060513327274</v>
      </c>
      <c r="AB48" s="890">
        <f t="shared" si="67"/>
        <v>0.32994734441726442</v>
      </c>
      <c r="AC48" s="834"/>
      <c r="AD48" s="890">
        <f t="shared" ref="AD48:AN48" si="68">D14/D19</f>
        <v>0.35884838593901308</v>
      </c>
      <c r="AE48" s="890">
        <f t="shared" si="68"/>
        <v>0.35828966265487588</v>
      </c>
      <c r="AF48" s="890">
        <f t="shared" si="68"/>
        <v>0.34781624509277642</v>
      </c>
      <c r="AG48" s="890">
        <f t="shared" si="68"/>
        <v>0.33770041922705218</v>
      </c>
      <c r="AH48" s="890">
        <f t="shared" si="68"/>
        <v>0.30960494762085067</v>
      </c>
      <c r="AI48" s="890">
        <f t="shared" si="68"/>
        <v>0.30188434828215938</v>
      </c>
      <c r="AJ48" s="890">
        <f t="shared" si="68"/>
        <v>0.29803685468059488</v>
      </c>
      <c r="AK48" s="890">
        <f t="shared" si="68"/>
        <v>0.29358048030247202</v>
      </c>
      <c r="AL48" s="890">
        <f t="shared" si="68"/>
        <v>0.29389581506390272</v>
      </c>
      <c r="AM48" s="890">
        <f t="shared" si="68"/>
        <v>0.29341413408834155</v>
      </c>
      <c r="AN48" s="890">
        <f t="shared" si="68"/>
        <v>0.3039861387998789</v>
      </c>
      <c r="AO48" s="890">
        <f>N14/N19</f>
        <v>0.3039861387998789</v>
      </c>
      <c r="AP48" s="834"/>
      <c r="AQ48" s="890">
        <f t="shared" ref="AQ48:BB48" si="69">D20/D25</f>
        <v>0.36940332812356347</v>
      </c>
      <c r="AR48" s="890">
        <f t="shared" si="69"/>
        <v>0.3679307538329557</v>
      </c>
      <c r="AS48" s="890">
        <f t="shared" si="69"/>
        <v>0.36187998312913833</v>
      </c>
      <c r="AT48" s="890">
        <f t="shared" si="69"/>
        <v>0.35243856557295894</v>
      </c>
      <c r="AU48" s="890">
        <f t="shared" si="69"/>
        <v>0.34894345259677162</v>
      </c>
      <c r="AV48" s="890">
        <f t="shared" si="69"/>
        <v>0.33965234633837693</v>
      </c>
      <c r="AW48" s="890">
        <f t="shared" si="69"/>
        <v>0.33034121348588741</v>
      </c>
      <c r="AX48" s="890">
        <f t="shared" si="69"/>
        <v>0.31823117071126517</v>
      </c>
      <c r="AY48" s="890">
        <f t="shared" si="69"/>
        <v>0.32877269094645506</v>
      </c>
      <c r="AZ48" s="890">
        <f t="shared" si="69"/>
        <v>0.34047961959627826</v>
      </c>
      <c r="BA48" s="890">
        <f t="shared" si="69"/>
        <v>0.35995701850543982</v>
      </c>
      <c r="BB48" s="890">
        <f t="shared" si="69"/>
        <v>0.38169854070993897</v>
      </c>
      <c r="BC48" s="890"/>
      <c r="BD48" s="890">
        <f t="shared" ref="BD48:BO48" si="70">D26/D31</f>
        <v>0.29229427971835609</v>
      </c>
      <c r="BE48" s="890">
        <f t="shared" si="70"/>
        <v>0.25047024696464082</v>
      </c>
      <c r="BF48" s="890">
        <f t="shared" si="70"/>
        <v>0.26119062435179424</v>
      </c>
      <c r="BG48" s="890">
        <f t="shared" si="70"/>
        <v>0.24872974667947895</v>
      </c>
      <c r="BH48" s="890">
        <f t="shared" si="70"/>
        <v>0.22983946392614679</v>
      </c>
      <c r="BI48" s="890">
        <f t="shared" si="70"/>
        <v>0.23714580788996992</v>
      </c>
      <c r="BJ48" s="890">
        <f t="shared" si="70"/>
        <v>0.23820064314770911</v>
      </c>
      <c r="BK48" s="890">
        <f t="shared" si="70"/>
        <v>0.23734354764787097</v>
      </c>
      <c r="BL48" s="890">
        <f t="shared" si="70"/>
        <v>0.29789245993221264</v>
      </c>
      <c r="BM48" s="890">
        <f t="shared" si="70"/>
        <v>0.31072281004784785</v>
      </c>
      <c r="BN48" s="890">
        <f t="shared" si="70"/>
        <v>0.3238131652077984</v>
      </c>
      <c r="BO48" s="890">
        <f t="shared" si="70"/>
        <v>0.36403584542945044</v>
      </c>
      <c r="BP48" s="834"/>
      <c r="BQ48" s="890">
        <f t="shared" ref="BQ48:CB48" si="71">D32/D37</f>
        <v>0.47951198242673848</v>
      </c>
      <c r="BR48" s="890">
        <f t="shared" si="71"/>
        <v>0.49837170260061248</v>
      </c>
      <c r="BS48" s="890">
        <f t="shared" si="71"/>
        <v>0.49417942383030472</v>
      </c>
      <c r="BT48" s="890">
        <f t="shared" si="71"/>
        <v>0.47079590031573582</v>
      </c>
      <c r="BU48" s="890">
        <f t="shared" si="71"/>
        <v>0.47310246883472723</v>
      </c>
      <c r="BV48" s="890">
        <f t="shared" si="71"/>
        <v>0.47328345417373174</v>
      </c>
      <c r="BW48" s="890">
        <f t="shared" si="71"/>
        <v>0.46330436996502722</v>
      </c>
      <c r="BX48" s="890">
        <f t="shared" si="71"/>
        <v>0.43832361201123354</v>
      </c>
      <c r="BY48" s="890">
        <f t="shared" si="71"/>
        <v>0.43839196206310049</v>
      </c>
      <c r="BZ48" s="890">
        <f t="shared" si="71"/>
        <v>0.46067650273032335</v>
      </c>
      <c r="CA48" s="890">
        <f t="shared" si="71"/>
        <v>0.45930722647225836</v>
      </c>
      <c r="CB48" s="891">
        <f t="shared" si="71"/>
        <v>0.4696525441433913</v>
      </c>
    </row>
    <row r="49" spans="1:80" s="1086" customFormat="1">
      <c r="A49" s="1099"/>
      <c r="B49" s="1100" t="s">
        <v>373</v>
      </c>
      <c r="C49" s="1102">
        <f>C16/C19</f>
        <v>0.1570316570132696</v>
      </c>
      <c r="D49" s="1102">
        <f>D16/D19</f>
        <v>0.1538047416215777</v>
      </c>
      <c r="E49" s="1102">
        <f t="shared" ref="E49:M49" si="72">E16/E19</f>
        <v>0.152652059157976</v>
      </c>
      <c r="F49" s="1102">
        <f t="shared" si="72"/>
        <v>0.16411307795290359</v>
      </c>
      <c r="G49" s="1102">
        <f t="shared" si="72"/>
        <v>0.17282643472295062</v>
      </c>
      <c r="H49" s="1102">
        <f t="shared" si="72"/>
        <v>0.19029408052505364</v>
      </c>
      <c r="I49" s="1102">
        <f t="shared" si="72"/>
        <v>0.18732583048448351</v>
      </c>
      <c r="J49" s="1102">
        <f t="shared" si="72"/>
        <v>0.18945550140900122</v>
      </c>
      <c r="K49" s="1102">
        <f t="shared" si="72"/>
        <v>0.19413319662282319</v>
      </c>
      <c r="L49" s="1102">
        <f t="shared" si="72"/>
        <v>0.19587941675641612</v>
      </c>
      <c r="M49" s="1102">
        <f t="shared" si="72"/>
        <v>0.20681599464427677</v>
      </c>
      <c r="N49" s="1102"/>
      <c r="O49" s="1207">
        <v>0.21</v>
      </c>
      <c r="P49" s="1110"/>
      <c r="Q49" s="889">
        <f t="shared" ref="Q49:AB49" si="73">D9/D13</f>
        <v>0.16816301094903735</v>
      </c>
      <c r="R49" s="890">
        <f t="shared" si="73"/>
        <v>0.16338821430065104</v>
      </c>
      <c r="S49" s="890">
        <f t="shared" si="73"/>
        <v>0.16393139823638467</v>
      </c>
      <c r="T49" s="890">
        <f t="shared" si="73"/>
        <v>0.16673886219841957</v>
      </c>
      <c r="U49" s="890">
        <f t="shared" si="73"/>
        <v>0.17200475981712282</v>
      </c>
      <c r="V49" s="890">
        <f t="shared" si="73"/>
        <v>0.17030806686000793</v>
      </c>
      <c r="W49" s="890">
        <f t="shared" si="73"/>
        <v>0.17697824310830029</v>
      </c>
      <c r="X49" s="890">
        <f t="shared" si="73"/>
        <v>0.17764684980026479</v>
      </c>
      <c r="Y49" s="890">
        <f t="shared" si="73"/>
        <v>0.17635579859541581</v>
      </c>
      <c r="Z49" s="890">
        <f t="shared" si="73"/>
        <v>0.18166020808118941</v>
      </c>
      <c r="AA49" s="890">
        <f t="shared" si="73"/>
        <v>0.17738533547972352</v>
      </c>
      <c r="AB49" s="890">
        <f t="shared" si="73"/>
        <v>0.17540113603383226</v>
      </c>
      <c r="AC49" s="834"/>
      <c r="AD49" s="890">
        <f t="shared" ref="AD49:AN49" si="74">D15/D19</f>
        <v>0.1740050517704898</v>
      </c>
      <c r="AE49" s="890">
        <f t="shared" si="74"/>
        <v>0.1778321029039987</v>
      </c>
      <c r="AF49" s="890">
        <f t="shared" si="74"/>
        <v>0.16931295636370691</v>
      </c>
      <c r="AG49" s="890">
        <f t="shared" si="74"/>
        <v>0.16956761231887643</v>
      </c>
      <c r="AH49" s="890">
        <f t="shared" si="74"/>
        <v>0.17159851066515208</v>
      </c>
      <c r="AI49" s="890">
        <f t="shared" si="74"/>
        <v>0.17472559415106381</v>
      </c>
      <c r="AJ49" s="890">
        <f t="shared" si="74"/>
        <v>0.17489267004154505</v>
      </c>
      <c r="AK49" s="890">
        <f t="shared" si="74"/>
        <v>0.17918582482897835</v>
      </c>
      <c r="AL49" s="890">
        <f t="shared" si="74"/>
        <v>0.17720708614946534</v>
      </c>
      <c r="AM49" s="890">
        <f t="shared" si="74"/>
        <v>0.17858338331078535</v>
      </c>
      <c r="AN49" s="890">
        <f t="shared" si="74"/>
        <v>0.17606925033313503</v>
      </c>
      <c r="AO49" s="890">
        <f>N15/N19</f>
        <v>0.17606925033313503</v>
      </c>
      <c r="AP49" s="834"/>
      <c r="AQ49" s="890">
        <f t="shared" ref="AQ49:BB49" si="75">D21/D25</f>
        <v>0.11747839477797187</v>
      </c>
      <c r="AR49" s="890">
        <f t="shared" si="75"/>
        <v>0.11602802402058908</v>
      </c>
      <c r="AS49" s="890">
        <f t="shared" si="75"/>
        <v>0.11305509962447088</v>
      </c>
      <c r="AT49" s="890">
        <f t="shared" si="75"/>
        <v>0.1218243203104889</v>
      </c>
      <c r="AU49" s="890">
        <f t="shared" si="75"/>
        <v>0.12929955088879541</v>
      </c>
      <c r="AV49" s="890">
        <f t="shared" si="75"/>
        <v>0.13101032797421244</v>
      </c>
      <c r="AW49" s="890">
        <f t="shared" si="75"/>
        <v>0.1280274881950198</v>
      </c>
      <c r="AX49" s="890">
        <f t="shared" si="75"/>
        <v>0.13111928073450418</v>
      </c>
      <c r="AY49" s="890">
        <f t="shared" si="75"/>
        <v>0.13003767553373674</v>
      </c>
      <c r="AZ49" s="890">
        <f t="shared" si="75"/>
        <v>0.14230391148298013</v>
      </c>
      <c r="BA49" s="890">
        <f t="shared" si="75"/>
        <v>0.14148364146847664</v>
      </c>
      <c r="BB49" s="890">
        <f t="shared" si="75"/>
        <v>0.14241750800829911</v>
      </c>
      <c r="BC49" s="890"/>
      <c r="BD49" s="890">
        <f t="shared" ref="BD49:BO49" si="76">D27/D31</f>
        <v>0.12078565692507687</v>
      </c>
      <c r="BE49" s="890">
        <f t="shared" si="76"/>
        <v>0.12643411160150253</v>
      </c>
      <c r="BF49" s="890">
        <f t="shared" si="76"/>
        <v>0.12852231084962884</v>
      </c>
      <c r="BG49" s="890">
        <f t="shared" si="76"/>
        <v>0.13150788880442987</v>
      </c>
      <c r="BH49" s="890">
        <f t="shared" si="76"/>
        <v>0.12925959750448379</v>
      </c>
      <c r="BI49" s="890">
        <f t="shared" si="76"/>
        <v>0.12860749325836249</v>
      </c>
      <c r="BJ49" s="890">
        <f t="shared" si="76"/>
        <v>0.12821582959134992</v>
      </c>
      <c r="BK49" s="890">
        <f t="shared" si="76"/>
        <v>0.13731734978034316</v>
      </c>
      <c r="BL49" s="890">
        <f t="shared" si="76"/>
        <v>0.15202357229233729</v>
      </c>
      <c r="BM49" s="890">
        <f t="shared" si="76"/>
        <v>0.15160629194724468</v>
      </c>
      <c r="BN49" s="890">
        <f t="shared" si="76"/>
        <v>0.15662383435179242</v>
      </c>
      <c r="BO49" s="890">
        <f t="shared" si="76"/>
        <v>0.15728566685167691</v>
      </c>
      <c r="BP49" s="834"/>
      <c r="BQ49" s="890">
        <f t="shared" ref="BQ49:CB49" si="77">D33/D37</f>
        <v>0.1488209754978643</v>
      </c>
      <c r="BR49" s="890">
        <f t="shared" si="77"/>
        <v>0.14603379397180208</v>
      </c>
      <c r="BS49" s="890">
        <f t="shared" si="77"/>
        <v>0.15854672239026529</v>
      </c>
      <c r="BT49" s="890">
        <f t="shared" si="77"/>
        <v>0.1649304775870519</v>
      </c>
      <c r="BU49" s="890">
        <f t="shared" si="77"/>
        <v>0.16352085096615931</v>
      </c>
      <c r="BV49" s="890">
        <f t="shared" si="77"/>
        <v>0.16511611915316121</v>
      </c>
      <c r="BW49" s="890">
        <f t="shared" si="77"/>
        <v>0.17284267059343653</v>
      </c>
      <c r="BX49" s="890">
        <f t="shared" si="77"/>
        <v>0.17187900345144613</v>
      </c>
      <c r="BY49" s="890">
        <f t="shared" si="77"/>
        <v>0.16779225460332478</v>
      </c>
      <c r="BZ49" s="890">
        <f t="shared" si="77"/>
        <v>0.1788260925240186</v>
      </c>
      <c r="CA49" s="890">
        <f t="shared" si="77"/>
        <v>0.17898295400438052</v>
      </c>
      <c r="CB49" s="891">
        <f t="shared" si="77"/>
        <v>0.17737682715097725</v>
      </c>
    </row>
    <row r="50" spans="1:80" s="1086" customFormat="1">
      <c r="A50" s="1099"/>
      <c r="B50" s="1100" t="s">
        <v>374</v>
      </c>
      <c r="C50" s="1102">
        <f>C17/C19</f>
        <v>0.23295332659127824</v>
      </c>
      <c r="D50" s="1102">
        <f>D17/D19</f>
        <v>0.22780708466794428</v>
      </c>
      <c r="E50" s="1102">
        <f t="shared" ref="E50:M50" si="78">E17/E19</f>
        <v>0.22329597418358724</v>
      </c>
      <c r="F50" s="1102">
        <f t="shared" si="78"/>
        <v>0.23073490321370596</v>
      </c>
      <c r="G50" s="1102">
        <f t="shared" si="78"/>
        <v>0.22205840152782039</v>
      </c>
      <c r="H50" s="1102">
        <f t="shared" si="78"/>
        <v>0.22265240439227565</v>
      </c>
      <c r="I50" s="1102">
        <f t="shared" si="78"/>
        <v>0.22386588394386134</v>
      </c>
      <c r="J50" s="1102">
        <f t="shared" si="78"/>
        <v>0.22549693297945442</v>
      </c>
      <c r="K50" s="1102">
        <f t="shared" si="78"/>
        <v>0.22359858376455888</v>
      </c>
      <c r="L50" s="1102">
        <f t="shared" si="78"/>
        <v>0.21759933846600135</v>
      </c>
      <c r="M50" s="1102">
        <f t="shared" si="78"/>
        <v>0.20206000083683176</v>
      </c>
      <c r="N50" s="1102"/>
      <c r="O50" s="1207">
        <v>0.2</v>
      </c>
      <c r="P50" s="1110"/>
      <c r="Q50" s="889">
        <f t="shared" ref="Q50:AB50" si="79">D10/D13</f>
        <v>0.26065375390390066</v>
      </c>
      <c r="R50" s="890">
        <f t="shared" si="79"/>
        <v>0.25426245277495085</v>
      </c>
      <c r="S50" s="890">
        <f t="shared" si="79"/>
        <v>0.25391819506488711</v>
      </c>
      <c r="T50" s="890">
        <f t="shared" si="79"/>
        <v>0.25238245254784597</v>
      </c>
      <c r="U50" s="890">
        <f t="shared" si="79"/>
        <v>0.24783616208429887</v>
      </c>
      <c r="V50" s="890">
        <f t="shared" si="79"/>
        <v>0.24394969772079592</v>
      </c>
      <c r="W50" s="890">
        <f t="shared" si="79"/>
        <v>0.24241837383121009</v>
      </c>
      <c r="X50" s="890">
        <f t="shared" si="79"/>
        <v>0.24819894429765993</v>
      </c>
      <c r="Y50" s="890">
        <f t="shared" si="79"/>
        <v>0.24189387341102278</v>
      </c>
      <c r="Z50" s="890">
        <f t="shared" si="79"/>
        <v>0.24728794927882214</v>
      </c>
      <c r="AA50" s="890">
        <f t="shared" si="79"/>
        <v>0.2469198769544636</v>
      </c>
      <c r="AB50" s="890">
        <f t="shared" si="79"/>
        <v>0.24141237198888843</v>
      </c>
      <c r="AC50" s="834"/>
      <c r="AD50" s="890">
        <f t="shared" ref="AD50:AN50" si="80">D16/D19</f>
        <v>0.1538047416215777</v>
      </c>
      <c r="AE50" s="890">
        <f t="shared" si="80"/>
        <v>0.152652059157976</v>
      </c>
      <c r="AF50" s="890">
        <f t="shared" si="80"/>
        <v>0.16411307795290359</v>
      </c>
      <c r="AG50" s="890">
        <f t="shared" si="80"/>
        <v>0.17282643472295062</v>
      </c>
      <c r="AH50" s="890">
        <f t="shared" si="80"/>
        <v>0.19029408052505364</v>
      </c>
      <c r="AI50" s="890">
        <f t="shared" si="80"/>
        <v>0.18732583048448351</v>
      </c>
      <c r="AJ50" s="890">
        <f t="shared" si="80"/>
        <v>0.18945550140900122</v>
      </c>
      <c r="AK50" s="890">
        <f t="shared" si="80"/>
        <v>0.19413319662282319</v>
      </c>
      <c r="AL50" s="890">
        <f t="shared" si="80"/>
        <v>0.19587941675641612</v>
      </c>
      <c r="AM50" s="890">
        <f t="shared" si="80"/>
        <v>0.20681599464427677</v>
      </c>
      <c r="AN50" s="890">
        <f t="shared" si="80"/>
        <v>0.2148312057922003</v>
      </c>
      <c r="AO50" s="890">
        <f>N16/N19</f>
        <v>0.2148312057922003</v>
      </c>
      <c r="AP50" s="834"/>
      <c r="AQ50" s="890">
        <f t="shared" ref="AQ50:BB50" si="81">D22/D25</f>
        <v>0.20508297324629954</v>
      </c>
      <c r="AR50" s="890">
        <f t="shared" si="81"/>
        <v>0.1997921295176085</v>
      </c>
      <c r="AS50" s="890">
        <f t="shared" si="81"/>
        <v>0.20446772939544386</v>
      </c>
      <c r="AT50" s="890">
        <f t="shared" si="81"/>
        <v>0.20908991901150473</v>
      </c>
      <c r="AU50" s="890">
        <f t="shared" si="81"/>
        <v>0.205179523623056</v>
      </c>
      <c r="AV50" s="890">
        <f t="shared" si="81"/>
        <v>0.21153664114150769</v>
      </c>
      <c r="AW50" s="890">
        <f t="shared" si="81"/>
        <v>0.22095771555207661</v>
      </c>
      <c r="AX50" s="890">
        <f t="shared" si="81"/>
        <v>0.21153662996685588</v>
      </c>
      <c r="AY50" s="890">
        <f t="shared" si="81"/>
        <v>0.20612398675647906</v>
      </c>
      <c r="AZ50" s="890">
        <f t="shared" si="81"/>
        <v>0.20949637656310724</v>
      </c>
      <c r="BA50" s="890">
        <f t="shared" si="81"/>
        <v>0.21274539963691036</v>
      </c>
      <c r="BB50" s="890">
        <f t="shared" si="81"/>
        <v>0.21119338848714767</v>
      </c>
      <c r="BC50" s="890"/>
      <c r="BD50" s="890">
        <f t="shared" ref="BD50:BO50" si="82">D28/D31</f>
        <v>0.2984613405149274</v>
      </c>
      <c r="BE50" s="890">
        <f t="shared" si="82"/>
        <v>0.29925553673308669</v>
      </c>
      <c r="BF50" s="890">
        <f t="shared" si="82"/>
        <v>0.29441521625715777</v>
      </c>
      <c r="BG50" s="890">
        <f t="shared" si="82"/>
        <v>0.31701767858842489</v>
      </c>
      <c r="BH50" s="890">
        <f t="shared" si="82"/>
        <v>0.32165091381226413</v>
      </c>
      <c r="BI50" s="890">
        <f t="shared" si="82"/>
        <v>0.2975869445833299</v>
      </c>
      <c r="BJ50" s="890">
        <f t="shared" si="82"/>
        <v>0.27436550164428758</v>
      </c>
      <c r="BK50" s="890">
        <f t="shared" si="82"/>
        <v>0.26750705316226525</v>
      </c>
      <c r="BL50" s="890">
        <f t="shared" si="82"/>
        <v>0.23402789842113331</v>
      </c>
      <c r="BM50" s="890">
        <f t="shared" si="82"/>
        <v>0.21623006859873645</v>
      </c>
      <c r="BN50" s="890">
        <f t="shared" si="82"/>
        <v>0.21406233303210911</v>
      </c>
      <c r="BO50" s="890">
        <f t="shared" si="82"/>
        <v>0.1979095067087657</v>
      </c>
      <c r="BP50" s="834"/>
      <c r="BQ50" s="890">
        <f t="shared" ref="BQ50:CB50" si="83">D34/D37</f>
        <v>0.17326111709239395</v>
      </c>
      <c r="BR50" s="890">
        <f t="shared" si="83"/>
        <v>0.16371772551336058</v>
      </c>
      <c r="BS50" s="890">
        <f t="shared" si="83"/>
        <v>0.15787903976848539</v>
      </c>
      <c r="BT50" s="890">
        <f t="shared" si="83"/>
        <v>0.16343673665444988</v>
      </c>
      <c r="BU50" s="890">
        <f t="shared" si="83"/>
        <v>0.15836907716363741</v>
      </c>
      <c r="BV50" s="890">
        <f t="shared" si="83"/>
        <v>0.15211634221732487</v>
      </c>
      <c r="BW50" s="890">
        <f t="shared" si="83"/>
        <v>0.15098854481867646</v>
      </c>
      <c r="BX50" s="890">
        <f t="shared" si="83"/>
        <v>0.14892964978120746</v>
      </c>
      <c r="BY50" s="890">
        <f t="shared" si="83"/>
        <v>0.13938463568443632</v>
      </c>
      <c r="BZ50" s="890">
        <f t="shared" si="83"/>
        <v>0.15394006795549389</v>
      </c>
      <c r="CA50" s="890">
        <f t="shared" si="83"/>
        <v>0.15719843260077523</v>
      </c>
      <c r="CB50" s="891">
        <f t="shared" si="83"/>
        <v>0.15125820371877904</v>
      </c>
    </row>
    <row r="51" spans="1:80" s="1086" customFormat="1">
      <c r="A51" s="1099"/>
      <c r="B51" s="1103" t="s">
        <v>375</v>
      </c>
      <c r="C51" s="1105">
        <f>C18/C19</f>
        <v>8.4671018356777303E-2</v>
      </c>
      <c r="D51" s="1105">
        <f>D18/D19</f>
        <v>8.5534736000975137E-2</v>
      </c>
      <c r="E51" s="1105">
        <f t="shared" ref="E51:M51" si="84">E18/E19</f>
        <v>8.7930201099562191E-2</v>
      </c>
      <c r="F51" s="1105">
        <f t="shared" si="84"/>
        <v>8.8022817376907106E-2</v>
      </c>
      <c r="G51" s="1105">
        <f t="shared" si="84"/>
        <v>9.784713220330038E-2</v>
      </c>
      <c r="H51" s="1105">
        <f t="shared" si="84"/>
        <v>0.10585005679666792</v>
      </c>
      <c r="I51" s="1105">
        <f t="shared" si="84"/>
        <v>0.11219834313843198</v>
      </c>
      <c r="J51" s="1105">
        <f t="shared" si="84"/>
        <v>0.11211804088940444</v>
      </c>
      <c r="K51" s="1105">
        <f t="shared" si="84"/>
        <v>0.1095019144811676</v>
      </c>
      <c r="L51" s="1105">
        <f t="shared" si="84"/>
        <v>0.11541834356421447</v>
      </c>
      <c r="M51" s="1105">
        <f t="shared" si="84"/>
        <v>0.11912648711976458</v>
      </c>
      <c r="N51" s="1105"/>
      <c r="O51" s="1208">
        <v>0.11</v>
      </c>
      <c r="P51" s="1110"/>
      <c r="Q51" s="889">
        <f t="shared" ref="Q51:AB51" si="85">D11/D13</f>
        <v>0.21696629783410507</v>
      </c>
      <c r="R51" s="890">
        <f t="shared" si="85"/>
        <v>0.22342501847179044</v>
      </c>
      <c r="S51" s="890">
        <f t="shared" si="85"/>
        <v>0.22439234626514432</v>
      </c>
      <c r="T51" s="890">
        <f t="shared" si="85"/>
        <v>0.22203407629098737</v>
      </c>
      <c r="U51" s="890">
        <f t="shared" si="85"/>
        <v>0.22556522828333439</v>
      </c>
      <c r="V51" s="890">
        <f t="shared" si="85"/>
        <v>0.23307267911851484</v>
      </c>
      <c r="W51" s="890">
        <f t="shared" si="85"/>
        <v>0.2227252095500348</v>
      </c>
      <c r="X51" s="890">
        <f t="shared" si="85"/>
        <v>0.22187516119233613</v>
      </c>
      <c r="Y51" s="890">
        <f t="shared" si="85"/>
        <v>0.21647575052644344</v>
      </c>
      <c r="Z51" s="890">
        <f t="shared" si="85"/>
        <v>0.20330664771654766</v>
      </c>
      <c r="AA51" s="890">
        <f t="shared" si="85"/>
        <v>0.19748383566301675</v>
      </c>
      <c r="AB51" s="890">
        <f t="shared" si="85"/>
        <v>0.18935797504042456</v>
      </c>
      <c r="AC51" s="834"/>
      <c r="AD51" s="890">
        <f t="shared" ref="AD51:AN51" si="86">D17/D19</f>
        <v>0.22780708466794428</v>
      </c>
      <c r="AE51" s="890">
        <f t="shared" si="86"/>
        <v>0.22329597418358724</v>
      </c>
      <c r="AF51" s="890">
        <f t="shared" si="86"/>
        <v>0.23073490321370596</v>
      </c>
      <c r="AG51" s="890">
        <f t="shared" si="86"/>
        <v>0.22205840152782039</v>
      </c>
      <c r="AH51" s="890">
        <f t="shared" si="86"/>
        <v>0.22265240439227565</v>
      </c>
      <c r="AI51" s="890">
        <f t="shared" si="86"/>
        <v>0.22386588394386134</v>
      </c>
      <c r="AJ51" s="890">
        <f t="shared" si="86"/>
        <v>0.22549693297945442</v>
      </c>
      <c r="AK51" s="890">
        <f t="shared" si="86"/>
        <v>0.22359858376455888</v>
      </c>
      <c r="AL51" s="890">
        <f t="shared" si="86"/>
        <v>0.21759933846600135</v>
      </c>
      <c r="AM51" s="890">
        <f t="shared" si="86"/>
        <v>0.20206000083683176</v>
      </c>
      <c r="AN51" s="890">
        <f t="shared" si="86"/>
        <v>0.19565028303429463</v>
      </c>
      <c r="AO51" s="890">
        <f>N17/N19</f>
        <v>0.19565028303429463</v>
      </c>
      <c r="AP51" s="834"/>
      <c r="AQ51" s="890">
        <f t="shared" ref="AQ51:BB51" si="87">D23/D25</f>
        <v>0.20627815574147285</v>
      </c>
      <c r="AR51" s="890">
        <f t="shared" si="87"/>
        <v>0.21127449902113901</v>
      </c>
      <c r="AS51" s="890">
        <f t="shared" si="87"/>
        <v>0.21554050277200454</v>
      </c>
      <c r="AT51" s="890">
        <f t="shared" si="87"/>
        <v>0.21645115938298251</v>
      </c>
      <c r="AU51" s="890">
        <f t="shared" si="87"/>
        <v>0.21001387458726728</v>
      </c>
      <c r="AV51" s="890">
        <f t="shared" si="87"/>
        <v>0.20863703622513291</v>
      </c>
      <c r="AW51" s="890">
        <f t="shared" si="87"/>
        <v>0.20949582949999745</v>
      </c>
      <c r="AX51" s="890">
        <f t="shared" si="87"/>
        <v>0.1970741742542573</v>
      </c>
      <c r="AY51" s="890">
        <f t="shared" si="87"/>
        <v>0.1941500171252426</v>
      </c>
      <c r="AZ51" s="890">
        <f t="shared" si="87"/>
        <v>0.1931280433440779</v>
      </c>
      <c r="BA51" s="890">
        <f t="shared" si="87"/>
        <v>0.18345992365585342</v>
      </c>
      <c r="BB51" s="890">
        <f t="shared" si="87"/>
        <v>0.17415120710459836</v>
      </c>
      <c r="BC51" s="890"/>
      <c r="BD51" s="890">
        <f t="shared" ref="BD51:BO51" si="88">D29/D31</f>
        <v>0.21012374052202618</v>
      </c>
      <c r="BE51" s="890">
        <f t="shared" si="88"/>
        <v>0.23582601995433505</v>
      </c>
      <c r="BF51" s="890">
        <f t="shared" si="88"/>
        <v>0.22859836699289096</v>
      </c>
      <c r="BG51" s="890">
        <f t="shared" si="88"/>
        <v>0.22127245678791821</v>
      </c>
      <c r="BH51" s="890">
        <f t="shared" si="88"/>
        <v>0.23622569677497443</v>
      </c>
      <c r="BI51" s="890">
        <f t="shared" si="88"/>
        <v>0.23891523159266576</v>
      </c>
      <c r="BJ51" s="890">
        <f t="shared" si="88"/>
        <v>0.24040395211717963</v>
      </c>
      <c r="BK51" s="890">
        <f t="shared" si="88"/>
        <v>0.26018021164909011</v>
      </c>
      <c r="BL51" s="890">
        <f t="shared" si="88"/>
        <v>0.23407967571066032</v>
      </c>
      <c r="BM51" s="890">
        <f t="shared" si="88"/>
        <v>0.23572423741082263</v>
      </c>
      <c r="BN51" s="890">
        <f t="shared" si="88"/>
        <v>0.22250299422650127</v>
      </c>
      <c r="BO51" s="890">
        <f t="shared" si="88"/>
        <v>0.19818824731581985</v>
      </c>
      <c r="BP51" s="834"/>
      <c r="BQ51" s="890">
        <f t="shared" ref="BQ51:CB51" si="89">D35/D37</f>
        <v>0.13940820429949763</v>
      </c>
      <c r="BR51" s="890">
        <f t="shared" si="89"/>
        <v>0.13520891949448943</v>
      </c>
      <c r="BS51" s="890">
        <f t="shared" si="89"/>
        <v>0.13295350466030925</v>
      </c>
      <c r="BT51" s="890">
        <f t="shared" si="89"/>
        <v>0.14047998875300946</v>
      </c>
      <c r="BU51" s="890">
        <f t="shared" si="89"/>
        <v>0.14428552984550058</v>
      </c>
      <c r="BV51" s="890">
        <f t="shared" si="89"/>
        <v>0.14929198092717541</v>
      </c>
      <c r="BW51" s="890">
        <f t="shared" si="89"/>
        <v>0.15162847986182909</v>
      </c>
      <c r="BX51" s="890">
        <f t="shared" si="89"/>
        <v>0.14853443324106033</v>
      </c>
      <c r="BY51" s="890">
        <f t="shared" si="89"/>
        <v>0.14069125098760485</v>
      </c>
      <c r="BZ51" s="890">
        <f t="shared" si="89"/>
        <v>0.14620078971510966</v>
      </c>
      <c r="CA51" s="890">
        <f t="shared" si="89"/>
        <v>0.14415558306616302</v>
      </c>
      <c r="CB51" s="891">
        <f t="shared" si="89"/>
        <v>0.14376049103444302</v>
      </c>
    </row>
    <row r="52" spans="1:80" s="1086" customFormat="1">
      <c r="A52" s="1106" t="s">
        <v>42</v>
      </c>
      <c r="B52" s="1106" t="s">
        <v>371</v>
      </c>
      <c r="C52" s="1108"/>
      <c r="D52" s="1107">
        <f>D20/D25</f>
        <v>0.36940332812356347</v>
      </c>
      <c r="E52" s="1107">
        <f t="shared" ref="E52:N52" si="90">E20/E25</f>
        <v>0.3679307538329557</v>
      </c>
      <c r="F52" s="1107">
        <f t="shared" si="90"/>
        <v>0.36187998312913833</v>
      </c>
      <c r="G52" s="1107">
        <f t="shared" si="90"/>
        <v>0.35243856557295894</v>
      </c>
      <c r="H52" s="1107">
        <f t="shared" si="90"/>
        <v>0.34894345259677162</v>
      </c>
      <c r="I52" s="1107">
        <f t="shared" si="90"/>
        <v>0.33965234633837693</v>
      </c>
      <c r="J52" s="1107">
        <f t="shared" si="90"/>
        <v>0.33034121348588741</v>
      </c>
      <c r="K52" s="1107">
        <f t="shared" si="90"/>
        <v>0.31823117071126517</v>
      </c>
      <c r="L52" s="1107">
        <f t="shared" si="90"/>
        <v>0.32877269094645506</v>
      </c>
      <c r="M52" s="1107">
        <f t="shared" si="90"/>
        <v>0.34047961959627826</v>
      </c>
      <c r="N52" s="1107">
        <f t="shared" si="90"/>
        <v>0.35995701850543982</v>
      </c>
      <c r="O52" s="1230">
        <v>0.38</v>
      </c>
      <c r="P52" s="1110"/>
      <c r="Q52" s="892">
        <f t="shared" ref="Q52:AB52" si="91">D12/D13</f>
        <v>7.161438519452476E-2</v>
      </c>
      <c r="R52" s="893">
        <f t="shared" si="91"/>
        <v>6.7662516903430878E-2</v>
      </c>
      <c r="S52" s="893">
        <f t="shared" si="91"/>
        <v>7.0613023936734229E-2</v>
      </c>
      <c r="T52" s="893">
        <f t="shared" si="91"/>
        <v>6.9799952744742849E-2</v>
      </c>
      <c r="U52" s="893">
        <f t="shared" si="91"/>
        <v>7.0044466712594733E-2</v>
      </c>
      <c r="V52" s="893">
        <f t="shared" si="91"/>
        <v>6.8659214011160111E-2</v>
      </c>
      <c r="W52" s="893">
        <f t="shared" si="91"/>
        <v>7.0287771961146245E-2</v>
      </c>
      <c r="X52" s="893">
        <f t="shared" si="91"/>
        <v>7.4707274717591032E-2</v>
      </c>
      <c r="Y52" s="893">
        <f t="shared" si="91"/>
        <v>7.2864183103094712E-2</v>
      </c>
      <c r="Z52" s="893">
        <f t="shared" si="91"/>
        <v>6.9241958228311917E-2</v>
      </c>
      <c r="AA52" s="893">
        <f t="shared" si="91"/>
        <v>6.9183893573048993E-2</v>
      </c>
      <c r="AB52" s="893">
        <f t="shared" si="91"/>
        <v>6.3881172519590371E-2</v>
      </c>
      <c r="AC52" s="848"/>
      <c r="AD52" s="893">
        <f t="shared" ref="AD52:AN52" si="92">D18/D19</f>
        <v>8.5534736000975137E-2</v>
      </c>
      <c r="AE52" s="893">
        <f t="shared" si="92"/>
        <v>8.7930201099562191E-2</v>
      </c>
      <c r="AF52" s="893">
        <f t="shared" si="92"/>
        <v>8.8022817376907106E-2</v>
      </c>
      <c r="AG52" s="893">
        <f t="shared" si="92"/>
        <v>9.784713220330038E-2</v>
      </c>
      <c r="AH52" s="893">
        <f t="shared" si="92"/>
        <v>0.10585005679666792</v>
      </c>
      <c r="AI52" s="893">
        <f t="shared" si="92"/>
        <v>0.11219834313843198</v>
      </c>
      <c r="AJ52" s="893">
        <f t="shared" si="92"/>
        <v>0.11211804088940444</v>
      </c>
      <c r="AK52" s="893">
        <f t="shared" si="92"/>
        <v>0.1095019144811676</v>
      </c>
      <c r="AL52" s="893">
        <f t="shared" si="92"/>
        <v>0.11541834356421447</v>
      </c>
      <c r="AM52" s="893">
        <f t="shared" si="92"/>
        <v>0.11912648711976458</v>
      </c>
      <c r="AN52" s="893">
        <f t="shared" si="92"/>
        <v>0.10946312204049112</v>
      </c>
      <c r="AO52" s="893">
        <f>N18/N19</f>
        <v>0.10946312204049112</v>
      </c>
      <c r="AP52" s="848"/>
      <c r="AQ52" s="893">
        <f t="shared" ref="AQ52:BB52" si="93">D24/D25</f>
        <v>0.10175714811069228</v>
      </c>
      <c r="AR52" s="893">
        <f t="shared" si="93"/>
        <v>0.10497459360770771</v>
      </c>
      <c r="AS52" s="893">
        <f t="shared" si="93"/>
        <v>0.10505668507894242</v>
      </c>
      <c r="AT52" s="893">
        <f t="shared" si="93"/>
        <v>0.10019603572206491</v>
      </c>
      <c r="AU52" s="893">
        <f t="shared" si="93"/>
        <v>0.10656359830410968</v>
      </c>
      <c r="AV52" s="893">
        <f t="shared" si="93"/>
        <v>0.10916364832077004</v>
      </c>
      <c r="AW52" s="893">
        <f t="shared" si="93"/>
        <v>0.11117775326701874</v>
      </c>
      <c r="AX52" s="893">
        <f t="shared" si="93"/>
        <v>0.14203874433311744</v>
      </c>
      <c r="AY52" s="893">
        <f t="shared" si="93"/>
        <v>0.14091562963808654</v>
      </c>
      <c r="AZ52" s="893">
        <f t="shared" si="93"/>
        <v>0.11459204901355645</v>
      </c>
      <c r="BA52" s="893">
        <f t="shared" si="93"/>
        <v>0.10235401673331976</v>
      </c>
      <c r="BB52" s="893">
        <f t="shared" si="93"/>
        <v>9.053935569001588E-2</v>
      </c>
      <c r="BC52" s="893"/>
      <c r="BD52" s="893">
        <f t="shared" ref="BD52:BO52" si="94">D30/D31</f>
        <v>7.8334982319613472E-2</v>
      </c>
      <c r="BE52" s="893">
        <f t="shared" si="94"/>
        <v>8.8014084746434906E-2</v>
      </c>
      <c r="BF52" s="893">
        <f t="shared" si="94"/>
        <v>8.7273481548528223E-2</v>
      </c>
      <c r="BG52" s="893">
        <f t="shared" si="94"/>
        <v>8.1472229139748081E-2</v>
      </c>
      <c r="BH52" s="893">
        <f t="shared" si="94"/>
        <v>8.3024327982130872E-2</v>
      </c>
      <c r="BI52" s="893">
        <f t="shared" si="94"/>
        <v>9.7744522675671908E-2</v>
      </c>
      <c r="BJ52" s="893">
        <f t="shared" si="94"/>
        <v>0.11881407349947376</v>
      </c>
      <c r="BK52" s="893">
        <f t="shared" si="94"/>
        <v>9.7651837760430488E-2</v>
      </c>
      <c r="BL52" s="893">
        <f t="shared" si="94"/>
        <v>8.1976393643656428E-2</v>
      </c>
      <c r="BM52" s="893">
        <f t="shared" si="94"/>
        <v>8.5716591995348437E-2</v>
      </c>
      <c r="BN52" s="893">
        <f t="shared" si="94"/>
        <v>8.2997673181798806E-2</v>
      </c>
      <c r="BO52" s="893">
        <f t="shared" si="94"/>
        <v>8.2580733694287103E-2</v>
      </c>
      <c r="BP52" s="848"/>
      <c r="BQ52" s="893">
        <f t="shared" ref="BQ52:CB52" si="95">D36/D37</f>
        <v>5.8997720683505644E-2</v>
      </c>
      <c r="BR52" s="893">
        <f t="shared" si="95"/>
        <v>5.6667858419735428E-2</v>
      </c>
      <c r="BS52" s="893">
        <f t="shared" si="95"/>
        <v>5.6441309350635356E-2</v>
      </c>
      <c r="BT52" s="893">
        <f t="shared" si="95"/>
        <v>6.0356896689752935E-2</v>
      </c>
      <c r="BU52" s="893">
        <f t="shared" si="95"/>
        <v>6.0722073189975467E-2</v>
      </c>
      <c r="BV52" s="893">
        <f t="shared" si="95"/>
        <v>6.0192103528606718E-2</v>
      </c>
      <c r="BW52" s="893">
        <f t="shared" si="95"/>
        <v>6.1235934761030709E-2</v>
      </c>
      <c r="BX52" s="893">
        <f t="shared" si="95"/>
        <v>9.2333301515052563E-2</v>
      </c>
      <c r="BY52" s="893">
        <f t="shared" si="95"/>
        <v>0.11373989666153353</v>
      </c>
      <c r="BZ52" s="893">
        <f t="shared" si="95"/>
        <v>6.0356547075054508E-2</v>
      </c>
      <c r="CA52" s="893">
        <f t="shared" si="95"/>
        <v>6.0355803856422842E-2</v>
      </c>
      <c r="CB52" s="894">
        <f t="shared" si="95"/>
        <v>5.7951933952409426E-2</v>
      </c>
    </row>
    <row r="53" spans="1:80">
      <c r="A53" s="525"/>
      <c r="B53" s="774" t="s">
        <v>372</v>
      </c>
      <c r="C53" s="776"/>
      <c r="D53" s="555">
        <f>D21/D25</f>
        <v>0.11747839477797187</v>
      </c>
      <c r="E53" s="555">
        <f t="shared" ref="E53:N53" si="96">E21/E25</f>
        <v>0.11602802402058908</v>
      </c>
      <c r="F53" s="555">
        <f t="shared" si="96"/>
        <v>0.11305509962447088</v>
      </c>
      <c r="G53" s="555">
        <f t="shared" si="96"/>
        <v>0.1218243203104889</v>
      </c>
      <c r="H53" s="555">
        <f t="shared" si="96"/>
        <v>0.12929955088879541</v>
      </c>
      <c r="I53" s="555">
        <f t="shared" si="96"/>
        <v>0.13101032797421244</v>
      </c>
      <c r="J53" s="555">
        <f t="shared" si="96"/>
        <v>0.1280274881950198</v>
      </c>
      <c r="K53" s="555">
        <f t="shared" si="96"/>
        <v>0.13111928073450418</v>
      </c>
      <c r="L53" s="555">
        <f t="shared" si="96"/>
        <v>0.13003767553373674</v>
      </c>
      <c r="M53" s="555">
        <f t="shared" si="96"/>
        <v>0.14230391148298013</v>
      </c>
      <c r="N53" s="1102">
        <f t="shared" si="96"/>
        <v>0.14148364146847664</v>
      </c>
      <c r="O53" s="1207">
        <v>0.14000000000000001</v>
      </c>
      <c r="P53" s="1109"/>
    </row>
    <row r="54" spans="1:80">
      <c r="A54" s="525"/>
      <c r="B54" s="774" t="s">
        <v>373</v>
      </c>
      <c r="C54" s="776"/>
      <c r="D54" s="555">
        <f>D22/D25</f>
        <v>0.20508297324629954</v>
      </c>
      <c r="E54" s="555">
        <f t="shared" ref="E54:N54" si="97">E22/E25</f>
        <v>0.1997921295176085</v>
      </c>
      <c r="F54" s="555">
        <f t="shared" si="97"/>
        <v>0.20446772939544386</v>
      </c>
      <c r="G54" s="555">
        <f t="shared" si="97"/>
        <v>0.20908991901150473</v>
      </c>
      <c r="H54" s="555">
        <f t="shared" si="97"/>
        <v>0.205179523623056</v>
      </c>
      <c r="I54" s="555">
        <f t="shared" si="97"/>
        <v>0.21153664114150769</v>
      </c>
      <c r="J54" s="555">
        <f t="shared" si="97"/>
        <v>0.22095771555207661</v>
      </c>
      <c r="K54" s="555">
        <f t="shared" si="97"/>
        <v>0.21153662996685588</v>
      </c>
      <c r="L54" s="555">
        <f t="shared" si="97"/>
        <v>0.20612398675647906</v>
      </c>
      <c r="M54" s="555">
        <f t="shared" si="97"/>
        <v>0.20949637656310724</v>
      </c>
      <c r="N54" s="1102">
        <f t="shared" si="97"/>
        <v>0.21274539963691036</v>
      </c>
      <c r="O54" s="1207">
        <v>0.21</v>
      </c>
      <c r="P54" s="1109"/>
    </row>
    <row r="55" spans="1:80">
      <c r="A55" s="525"/>
      <c r="B55" s="774" t="s">
        <v>374</v>
      </c>
      <c r="C55" s="776"/>
      <c r="D55" s="555">
        <f>D23/D25</f>
        <v>0.20627815574147285</v>
      </c>
      <c r="E55" s="555">
        <f t="shared" ref="E55:N55" si="98">E23/E25</f>
        <v>0.21127449902113901</v>
      </c>
      <c r="F55" s="555">
        <f t="shared" si="98"/>
        <v>0.21554050277200454</v>
      </c>
      <c r="G55" s="555">
        <f t="shared" si="98"/>
        <v>0.21645115938298251</v>
      </c>
      <c r="H55" s="555">
        <f t="shared" si="98"/>
        <v>0.21001387458726728</v>
      </c>
      <c r="I55" s="555">
        <f t="shared" si="98"/>
        <v>0.20863703622513291</v>
      </c>
      <c r="J55" s="555">
        <f t="shared" si="98"/>
        <v>0.20949582949999745</v>
      </c>
      <c r="K55" s="555">
        <f t="shared" si="98"/>
        <v>0.1970741742542573</v>
      </c>
      <c r="L55" s="555">
        <f t="shared" si="98"/>
        <v>0.1941500171252426</v>
      </c>
      <c r="M55" s="555">
        <f t="shared" si="98"/>
        <v>0.1931280433440779</v>
      </c>
      <c r="N55" s="1102">
        <f t="shared" si="98"/>
        <v>0.18345992365585342</v>
      </c>
      <c r="O55" s="1207">
        <v>0.17</v>
      </c>
      <c r="P55" s="1109"/>
    </row>
    <row r="56" spans="1:80">
      <c r="A56" s="525"/>
      <c r="B56" s="755" t="s">
        <v>375</v>
      </c>
      <c r="C56" s="756"/>
      <c r="D56" s="895">
        <f>D24/D25</f>
        <v>0.10175714811069228</v>
      </c>
      <c r="E56" s="895">
        <f t="shared" ref="E56:N56" si="99">E24/E25</f>
        <v>0.10497459360770771</v>
      </c>
      <c r="F56" s="895">
        <f t="shared" si="99"/>
        <v>0.10505668507894242</v>
      </c>
      <c r="G56" s="895">
        <f t="shared" si="99"/>
        <v>0.10019603572206491</v>
      </c>
      <c r="H56" s="895">
        <f t="shared" si="99"/>
        <v>0.10656359830410968</v>
      </c>
      <c r="I56" s="895">
        <f t="shared" si="99"/>
        <v>0.10916364832077004</v>
      </c>
      <c r="J56" s="895">
        <f t="shared" si="99"/>
        <v>0.11117775326701874</v>
      </c>
      <c r="K56" s="895">
        <f t="shared" si="99"/>
        <v>0.14203874433311744</v>
      </c>
      <c r="L56" s="895">
        <f t="shared" si="99"/>
        <v>0.14091562963808654</v>
      </c>
      <c r="M56" s="895">
        <f t="shared" si="99"/>
        <v>0.11459204901355645</v>
      </c>
      <c r="N56" s="1105">
        <f t="shared" si="99"/>
        <v>0.10235401673331976</v>
      </c>
      <c r="O56" s="1208">
        <v>0.09</v>
      </c>
      <c r="P56" s="1109"/>
    </row>
    <row r="57" spans="1:80">
      <c r="A57" s="534" t="s">
        <v>43</v>
      </c>
      <c r="B57" s="534" t="s">
        <v>371</v>
      </c>
      <c r="C57" s="603"/>
      <c r="D57" s="752">
        <f>D26/D31</f>
        <v>0.29229427971835609</v>
      </c>
      <c r="E57" s="752">
        <f t="shared" ref="E57:N57" si="100">E26/E31</f>
        <v>0.25047024696464082</v>
      </c>
      <c r="F57" s="752">
        <f t="shared" si="100"/>
        <v>0.26119062435179424</v>
      </c>
      <c r="G57" s="752">
        <f t="shared" si="100"/>
        <v>0.24872974667947895</v>
      </c>
      <c r="H57" s="752">
        <f t="shared" si="100"/>
        <v>0.22983946392614679</v>
      </c>
      <c r="I57" s="752">
        <f t="shared" si="100"/>
        <v>0.23714580788996992</v>
      </c>
      <c r="J57" s="752">
        <f t="shared" si="100"/>
        <v>0.23820064314770911</v>
      </c>
      <c r="K57" s="752">
        <f t="shared" si="100"/>
        <v>0.23734354764787097</v>
      </c>
      <c r="L57" s="752">
        <f t="shared" si="100"/>
        <v>0.29789245993221264</v>
      </c>
      <c r="M57" s="752">
        <f t="shared" si="100"/>
        <v>0.31072281004784785</v>
      </c>
      <c r="N57" s="1107">
        <f t="shared" si="100"/>
        <v>0.3238131652077984</v>
      </c>
      <c r="O57" s="1230">
        <f>O26/O31</f>
        <v>0.36403584542945044</v>
      </c>
      <c r="P57" s="1109"/>
    </row>
    <row r="58" spans="1:80">
      <c r="A58" s="525"/>
      <c r="B58" s="774" t="s">
        <v>372</v>
      </c>
      <c r="C58" s="776"/>
      <c r="D58" s="555">
        <f>D27/D31</f>
        <v>0.12078565692507687</v>
      </c>
      <c r="E58" s="555">
        <f t="shared" ref="E58:N58" si="101">E27/E31</f>
        <v>0.12643411160150253</v>
      </c>
      <c r="F58" s="555">
        <f t="shared" si="101"/>
        <v>0.12852231084962884</v>
      </c>
      <c r="G58" s="555">
        <f t="shared" si="101"/>
        <v>0.13150788880442987</v>
      </c>
      <c r="H58" s="555">
        <f t="shared" si="101"/>
        <v>0.12925959750448379</v>
      </c>
      <c r="I58" s="555">
        <f t="shared" si="101"/>
        <v>0.12860749325836249</v>
      </c>
      <c r="J58" s="555">
        <f t="shared" si="101"/>
        <v>0.12821582959134992</v>
      </c>
      <c r="K58" s="555">
        <f t="shared" si="101"/>
        <v>0.13731734978034316</v>
      </c>
      <c r="L58" s="555">
        <f t="shared" si="101"/>
        <v>0.15202357229233729</v>
      </c>
      <c r="M58" s="555">
        <f t="shared" si="101"/>
        <v>0.15160629194724468</v>
      </c>
      <c r="N58" s="1102">
        <f t="shared" si="101"/>
        <v>0.15662383435179242</v>
      </c>
      <c r="O58" s="1207">
        <f>O27/O31</f>
        <v>0.15728566685167691</v>
      </c>
      <c r="P58" s="1109"/>
    </row>
    <row r="59" spans="1:80">
      <c r="A59" s="525"/>
      <c r="B59" s="774" t="s">
        <v>373</v>
      </c>
      <c r="C59" s="776"/>
      <c r="D59" s="555">
        <f>D28/D31</f>
        <v>0.2984613405149274</v>
      </c>
      <c r="E59" s="555">
        <f t="shared" ref="E59:N59" si="102">E28/E31</f>
        <v>0.29925553673308669</v>
      </c>
      <c r="F59" s="555">
        <f t="shared" si="102"/>
        <v>0.29441521625715777</v>
      </c>
      <c r="G59" s="555">
        <f t="shared" si="102"/>
        <v>0.31701767858842489</v>
      </c>
      <c r="H59" s="555">
        <f t="shared" si="102"/>
        <v>0.32165091381226413</v>
      </c>
      <c r="I59" s="555">
        <f t="shared" si="102"/>
        <v>0.2975869445833299</v>
      </c>
      <c r="J59" s="555">
        <f t="shared" si="102"/>
        <v>0.27436550164428758</v>
      </c>
      <c r="K59" s="555">
        <f t="shared" si="102"/>
        <v>0.26750705316226525</v>
      </c>
      <c r="L59" s="555">
        <f t="shared" si="102"/>
        <v>0.23402789842113331</v>
      </c>
      <c r="M59" s="555">
        <f t="shared" si="102"/>
        <v>0.21623006859873645</v>
      </c>
      <c r="N59" s="1102">
        <f t="shared" si="102"/>
        <v>0.21406233303210911</v>
      </c>
      <c r="O59" s="1207">
        <f>O28/O31</f>
        <v>0.1979095067087657</v>
      </c>
      <c r="P59" s="1109"/>
    </row>
    <row r="60" spans="1:80">
      <c r="A60" s="525"/>
      <c r="B60" s="774" t="s">
        <v>374</v>
      </c>
      <c r="C60" s="776"/>
      <c r="D60" s="555">
        <f>D29/D31</f>
        <v>0.21012374052202618</v>
      </c>
      <c r="E60" s="555">
        <f t="shared" ref="E60:N60" si="103">E29/E31</f>
        <v>0.23582601995433505</v>
      </c>
      <c r="F60" s="555">
        <f t="shared" si="103"/>
        <v>0.22859836699289096</v>
      </c>
      <c r="G60" s="555">
        <f t="shared" si="103"/>
        <v>0.22127245678791821</v>
      </c>
      <c r="H60" s="555">
        <f t="shared" si="103"/>
        <v>0.23622569677497443</v>
      </c>
      <c r="I60" s="555">
        <f t="shared" si="103"/>
        <v>0.23891523159266576</v>
      </c>
      <c r="J60" s="555">
        <f t="shared" si="103"/>
        <v>0.24040395211717963</v>
      </c>
      <c r="K60" s="555">
        <f t="shared" si="103"/>
        <v>0.26018021164909011</v>
      </c>
      <c r="L60" s="555">
        <f t="shared" si="103"/>
        <v>0.23407967571066032</v>
      </c>
      <c r="M60" s="555">
        <f t="shared" si="103"/>
        <v>0.23572423741082263</v>
      </c>
      <c r="N60" s="1102">
        <f t="shared" si="103"/>
        <v>0.22250299422650127</v>
      </c>
      <c r="O60" s="1207">
        <f>O29/O31</f>
        <v>0.19818824731581985</v>
      </c>
      <c r="P60" s="1109"/>
    </row>
    <row r="61" spans="1:80">
      <c r="A61" s="525"/>
      <c r="B61" s="755" t="s">
        <v>375</v>
      </c>
      <c r="C61" s="756"/>
      <c r="D61" s="895">
        <f>D30/D31</f>
        <v>7.8334982319613472E-2</v>
      </c>
      <c r="E61" s="895">
        <f t="shared" ref="E61:N61" si="104">E30/E31</f>
        <v>8.8014084746434906E-2</v>
      </c>
      <c r="F61" s="895">
        <f t="shared" si="104"/>
        <v>8.7273481548528223E-2</v>
      </c>
      <c r="G61" s="895">
        <f t="shared" si="104"/>
        <v>8.1472229139748081E-2</v>
      </c>
      <c r="H61" s="895">
        <f t="shared" si="104"/>
        <v>8.3024327982130872E-2</v>
      </c>
      <c r="I61" s="895">
        <f t="shared" si="104"/>
        <v>9.7744522675671908E-2</v>
      </c>
      <c r="J61" s="895">
        <f t="shared" si="104"/>
        <v>0.11881407349947376</v>
      </c>
      <c r="K61" s="895">
        <f t="shared" si="104"/>
        <v>9.7651837760430488E-2</v>
      </c>
      <c r="L61" s="895">
        <f t="shared" si="104"/>
        <v>8.1976393643656428E-2</v>
      </c>
      <c r="M61" s="895">
        <f t="shared" si="104"/>
        <v>8.5716591995348437E-2</v>
      </c>
      <c r="N61" s="1105">
        <f t="shared" si="104"/>
        <v>8.2997673181798806E-2</v>
      </c>
      <c r="O61" s="1208">
        <f>O30/O31</f>
        <v>8.2580733694287103E-2</v>
      </c>
      <c r="P61" s="1109"/>
    </row>
    <row r="62" spans="1:80">
      <c r="A62" s="525" t="s">
        <v>44</v>
      </c>
      <c r="B62" s="525" t="s">
        <v>371</v>
      </c>
      <c r="C62" s="536"/>
      <c r="D62" s="752">
        <f>D32/D37</f>
        <v>0.47951198242673848</v>
      </c>
      <c r="E62" s="752">
        <f t="shared" ref="E62:N62" si="105">E32/E37</f>
        <v>0.49837170260061248</v>
      </c>
      <c r="F62" s="752">
        <f t="shared" si="105"/>
        <v>0.49417942383030472</v>
      </c>
      <c r="G62" s="752">
        <f t="shared" si="105"/>
        <v>0.47079590031573582</v>
      </c>
      <c r="H62" s="752">
        <f t="shared" si="105"/>
        <v>0.47310246883472723</v>
      </c>
      <c r="I62" s="752">
        <f t="shared" si="105"/>
        <v>0.47328345417373174</v>
      </c>
      <c r="J62" s="752">
        <f t="shared" si="105"/>
        <v>0.46330436996502722</v>
      </c>
      <c r="K62" s="752">
        <f t="shared" si="105"/>
        <v>0.43832361201123354</v>
      </c>
      <c r="L62" s="752">
        <f t="shared" si="105"/>
        <v>0.43839196206310049</v>
      </c>
      <c r="M62" s="752">
        <f t="shared" si="105"/>
        <v>0.46067650273032335</v>
      </c>
      <c r="N62" s="1107">
        <f t="shared" si="105"/>
        <v>0.45930722647225836</v>
      </c>
      <c r="O62" s="1230">
        <f>O32/O37</f>
        <v>0.4696525441433913</v>
      </c>
      <c r="P62" s="1109"/>
    </row>
    <row r="63" spans="1:80">
      <c r="A63" s="525"/>
      <c r="B63" s="774" t="s">
        <v>372</v>
      </c>
      <c r="C63" s="776"/>
      <c r="D63" s="555">
        <f>D33/D37</f>
        <v>0.1488209754978643</v>
      </c>
      <c r="E63" s="555">
        <f t="shared" ref="E63:N63" si="106">E33/E37</f>
        <v>0.14603379397180208</v>
      </c>
      <c r="F63" s="555">
        <f t="shared" si="106"/>
        <v>0.15854672239026529</v>
      </c>
      <c r="G63" s="555">
        <f t="shared" si="106"/>
        <v>0.1649304775870519</v>
      </c>
      <c r="H63" s="555">
        <f t="shared" si="106"/>
        <v>0.16352085096615931</v>
      </c>
      <c r="I63" s="555">
        <f t="shared" si="106"/>
        <v>0.16511611915316121</v>
      </c>
      <c r="J63" s="555">
        <f t="shared" si="106"/>
        <v>0.17284267059343653</v>
      </c>
      <c r="K63" s="555">
        <f t="shared" si="106"/>
        <v>0.17187900345144613</v>
      </c>
      <c r="L63" s="555">
        <f t="shared" si="106"/>
        <v>0.16779225460332478</v>
      </c>
      <c r="M63" s="555">
        <f t="shared" si="106"/>
        <v>0.1788260925240186</v>
      </c>
      <c r="N63" s="1102">
        <f t="shared" si="106"/>
        <v>0.17898295400438052</v>
      </c>
      <c r="O63" s="1207">
        <f>O33/O37</f>
        <v>0.17737682715097725</v>
      </c>
      <c r="P63" s="1109"/>
    </row>
    <row r="64" spans="1:80">
      <c r="A64" s="525"/>
      <c r="B64" s="774" t="s">
        <v>373</v>
      </c>
      <c r="C64" s="776"/>
      <c r="D64" s="555">
        <f>D34/D37</f>
        <v>0.17326111709239395</v>
      </c>
      <c r="E64" s="555">
        <f t="shared" ref="E64:N64" si="107">E34/E37</f>
        <v>0.16371772551336058</v>
      </c>
      <c r="F64" s="555">
        <f t="shared" si="107"/>
        <v>0.15787903976848539</v>
      </c>
      <c r="G64" s="555">
        <f t="shared" si="107"/>
        <v>0.16343673665444988</v>
      </c>
      <c r="H64" s="555">
        <f t="shared" si="107"/>
        <v>0.15836907716363741</v>
      </c>
      <c r="I64" s="555">
        <f t="shared" si="107"/>
        <v>0.15211634221732487</v>
      </c>
      <c r="J64" s="555">
        <f t="shared" si="107"/>
        <v>0.15098854481867646</v>
      </c>
      <c r="K64" s="555">
        <f t="shared" si="107"/>
        <v>0.14892964978120746</v>
      </c>
      <c r="L64" s="555">
        <f t="shared" si="107"/>
        <v>0.13938463568443632</v>
      </c>
      <c r="M64" s="555">
        <f t="shared" si="107"/>
        <v>0.15394006795549389</v>
      </c>
      <c r="N64" s="1102">
        <f t="shared" si="107"/>
        <v>0.15719843260077523</v>
      </c>
      <c r="O64" s="1207">
        <f>O34/O37</f>
        <v>0.15125820371877904</v>
      </c>
      <c r="P64" s="1109"/>
    </row>
    <row r="65" spans="1:16">
      <c r="A65" s="525"/>
      <c r="B65" s="774" t="s">
        <v>374</v>
      </c>
      <c r="C65" s="776"/>
      <c r="D65" s="555">
        <f>D35/D37</f>
        <v>0.13940820429949763</v>
      </c>
      <c r="E65" s="555">
        <f t="shared" ref="E65:N65" si="108">E35/E37</f>
        <v>0.13520891949448943</v>
      </c>
      <c r="F65" s="555">
        <f t="shared" si="108"/>
        <v>0.13295350466030925</v>
      </c>
      <c r="G65" s="555">
        <f t="shared" si="108"/>
        <v>0.14047998875300946</v>
      </c>
      <c r="H65" s="555">
        <f t="shared" si="108"/>
        <v>0.14428552984550058</v>
      </c>
      <c r="I65" s="555">
        <f t="shared" si="108"/>
        <v>0.14929198092717541</v>
      </c>
      <c r="J65" s="555">
        <f t="shared" si="108"/>
        <v>0.15162847986182909</v>
      </c>
      <c r="K65" s="555">
        <f t="shared" si="108"/>
        <v>0.14853443324106033</v>
      </c>
      <c r="L65" s="555">
        <f t="shared" si="108"/>
        <v>0.14069125098760485</v>
      </c>
      <c r="M65" s="555">
        <f t="shared" si="108"/>
        <v>0.14620078971510966</v>
      </c>
      <c r="N65" s="1102">
        <f t="shared" si="108"/>
        <v>0.14415558306616302</v>
      </c>
      <c r="O65" s="1207">
        <f>O35/O37</f>
        <v>0.14376049103444302</v>
      </c>
      <c r="P65" s="1109"/>
    </row>
    <row r="66" spans="1:16">
      <c r="A66" s="526"/>
      <c r="B66" s="865" t="s">
        <v>375</v>
      </c>
      <c r="C66" s="866"/>
      <c r="D66" s="550">
        <f>D36/D37</f>
        <v>5.8997720683505644E-2</v>
      </c>
      <c r="E66" s="550">
        <f t="shared" ref="E66:N66" si="109">E36/E37</f>
        <v>5.6667858419735428E-2</v>
      </c>
      <c r="F66" s="550">
        <f t="shared" si="109"/>
        <v>5.6441309350635356E-2</v>
      </c>
      <c r="G66" s="550">
        <f t="shared" si="109"/>
        <v>6.0356896689752935E-2</v>
      </c>
      <c r="H66" s="550">
        <f t="shared" si="109"/>
        <v>6.0722073189975467E-2</v>
      </c>
      <c r="I66" s="550">
        <f t="shared" si="109"/>
        <v>6.0192103528606718E-2</v>
      </c>
      <c r="J66" s="550">
        <f t="shared" si="109"/>
        <v>6.1235934761030709E-2</v>
      </c>
      <c r="K66" s="550">
        <f t="shared" si="109"/>
        <v>9.2333301515052563E-2</v>
      </c>
      <c r="L66" s="550">
        <f t="shared" si="109"/>
        <v>0.11373989666153353</v>
      </c>
      <c r="M66" s="550">
        <f t="shared" si="109"/>
        <v>6.0356547075054508E-2</v>
      </c>
      <c r="N66" s="1232">
        <f t="shared" si="109"/>
        <v>6.0355803856422842E-2</v>
      </c>
      <c r="O66" s="1208">
        <f>O36/O37</f>
        <v>5.7951933952409426E-2</v>
      </c>
      <c r="P66" s="1109"/>
    </row>
  </sheetData>
  <hyperlinks>
    <hyperlink ref="O1" location="Content!A1" display="ToC" xr:uid="{7363576B-BDA3-4A7D-899C-FC7B3969043C}"/>
  </hyperlinks>
  <pageMargins left="0.7" right="0.7" top="0.75" bottom="0.75" header="0.3" footer="0.3"/>
  <pageSetup orientation="portrait" r:id="rId1"/>
  <ignoredErrors>
    <ignoredError sqref="O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CCB86-E86F-49CD-A059-B79D392CECCF}">
  <dimension ref="A1:DP184"/>
  <sheetViews>
    <sheetView zoomScale="80" zoomScaleNormal="80" workbookViewId="0">
      <pane xSplit="1" ySplit="4" topLeftCell="B5" activePane="bottomRight" state="frozenSplit"/>
      <selection pane="topRight" activeCell="H1" sqref="H1"/>
      <selection pane="bottomLeft" activeCell="A27" sqref="A27"/>
      <selection pane="bottomRight" activeCell="M42" sqref="M42"/>
    </sheetView>
  </sheetViews>
  <sheetFormatPr defaultRowHeight="15"/>
  <cols>
    <col min="1" max="1" width="23.7109375" customWidth="1"/>
    <col min="3" max="3" width="39.7109375" customWidth="1"/>
    <col min="5" max="5" width="39.7109375" customWidth="1"/>
    <col min="7" max="7" width="39.7109375" customWidth="1"/>
    <col min="9" max="9" width="39.7109375" customWidth="1"/>
    <col min="11" max="11" width="39.7109375" customWidth="1"/>
    <col min="13" max="13" width="39.7109375" customWidth="1"/>
    <col min="15" max="15" width="39.7109375" customWidth="1"/>
    <col min="17" max="17" width="39.7109375" customWidth="1"/>
    <col min="19" max="19" width="39.7109375" customWidth="1"/>
    <col min="21" max="21" width="39.7109375" style="1086" customWidth="1"/>
    <col min="22" max="22" width="9.140625" style="1086"/>
    <col min="23" max="23" width="39.7109375" style="1086" customWidth="1"/>
    <col min="24" max="24" width="9.140625" style="1086" customWidth="1"/>
    <col min="25" max="25" width="9.140625" style="1086"/>
    <col min="26" max="26" width="28" style="1098" customWidth="1"/>
    <col min="27" max="41" width="6.7109375" style="1098" customWidth="1"/>
    <col min="42" max="42" width="17" style="1098" customWidth="1"/>
    <col min="43" max="56" width="6.7109375" style="1098" customWidth="1"/>
    <col min="57" max="57" width="16.85546875" style="1098" customWidth="1"/>
    <col min="58" max="72" width="6.7109375" style="1098" customWidth="1"/>
    <col min="73" max="73" width="18.140625" style="1098" customWidth="1"/>
    <col min="74" max="88" width="6.85546875" style="1098" customWidth="1"/>
    <col min="89" max="89" width="16" style="1098" customWidth="1"/>
    <col min="90" max="104" width="7" style="1098" customWidth="1"/>
    <col min="105" max="119" width="9.140625" style="1098"/>
    <col min="120" max="120" width="9.140625" style="1086"/>
  </cols>
  <sheetData>
    <row r="1" spans="1:14" ht="21">
      <c r="A1" s="496" t="s">
        <v>32</v>
      </c>
      <c r="N1" s="888" t="s">
        <v>458</v>
      </c>
    </row>
    <row r="2" spans="1:14" ht="18.75">
      <c r="A2" s="495" t="s">
        <v>366</v>
      </c>
    </row>
    <row r="3" spans="1:14" ht="18.75">
      <c r="A3" s="495" t="s">
        <v>417</v>
      </c>
    </row>
    <row r="4" spans="1:14" ht="18.75">
      <c r="A4" s="495" t="s">
        <v>435</v>
      </c>
    </row>
    <row r="45" spans="1:119" ht="15.75">
      <c r="A45" s="781" t="s">
        <v>34</v>
      </c>
      <c r="B45" s="780" t="s">
        <v>404</v>
      </c>
      <c r="C45" s="1345">
        <v>2012</v>
      </c>
      <c r="D45" s="1344"/>
      <c r="E45" s="1344">
        <f>C45+1</f>
        <v>2013</v>
      </c>
      <c r="F45" s="1345"/>
      <c r="G45" s="1344">
        <f>E45+1</f>
        <v>2014</v>
      </c>
      <c r="H45" s="1345"/>
      <c r="I45" s="1344">
        <f>G45+1</f>
        <v>2015</v>
      </c>
      <c r="J45" s="1345"/>
      <c r="K45" s="1344">
        <f>I45+1</f>
        <v>2016</v>
      </c>
      <c r="L45" s="1345"/>
      <c r="M45" s="1344">
        <f>K45+1</f>
        <v>2017</v>
      </c>
      <c r="N45" s="1345"/>
      <c r="O45" s="1344">
        <f>M45+1</f>
        <v>2018</v>
      </c>
      <c r="P45" s="1345"/>
      <c r="Q45" s="1344">
        <f>O45+1</f>
        <v>2019</v>
      </c>
      <c r="R45" s="1345"/>
      <c r="S45" s="1344">
        <f>Q45+1</f>
        <v>2020</v>
      </c>
      <c r="T45" s="1345"/>
      <c r="U45" s="1342">
        <f>S45+1</f>
        <v>2021</v>
      </c>
      <c r="V45" s="1343"/>
      <c r="W45" s="1342">
        <f>U45+1</f>
        <v>2022</v>
      </c>
      <c r="X45" s="1343"/>
    </row>
    <row r="46" spans="1:119" s="1086" customFormat="1">
      <c r="A46" s="1143" t="s">
        <v>36</v>
      </c>
      <c r="B46" s="1144">
        <v>1</v>
      </c>
      <c r="C46" s="1087" t="s">
        <v>376</v>
      </c>
      <c r="D46" s="1145">
        <v>7.0472990750672995E-2</v>
      </c>
      <c r="E46" s="1143" t="s">
        <v>376</v>
      </c>
      <c r="F46" s="1146">
        <v>7.2980017376194598E-2</v>
      </c>
      <c r="G46" s="1143" t="s">
        <v>376</v>
      </c>
      <c r="H46" s="1146">
        <v>7.3731327610196601E-2</v>
      </c>
      <c r="I46" s="1143" t="s">
        <v>376</v>
      </c>
      <c r="J46" s="1146">
        <v>7.8E-2</v>
      </c>
      <c r="K46" s="1143" t="s">
        <v>376</v>
      </c>
      <c r="L46" s="1146">
        <v>7.6999999999999999E-2</v>
      </c>
      <c r="M46" s="1143" t="s">
        <v>376</v>
      </c>
      <c r="N46" s="1146">
        <v>7.9220504130480804E-2</v>
      </c>
      <c r="O46" s="1143" t="s">
        <v>376</v>
      </c>
      <c r="P46" s="1146">
        <v>7.93007507559296E-2</v>
      </c>
      <c r="Q46" s="1143" t="s">
        <v>378</v>
      </c>
      <c r="R46" s="1146">
        <v>7.8522720348325123E-2</v>
      </c>
      <c r="S46" s="1143" t="s">
        <v>376</v>
      </c>
      <c r="T46" s="1146">
        <v>0.08</v>
      </c>
      <c r="U46" s="1147" t="s">
        <v>378</v>
      </c>
      <c r="V46" s="1146">
        <v>8.1817843727918477E-2</v>
      </c>
      <c r="W46" s="1147" t="s">
        <v>378</v>
      </c>
      <c r="X46" s="1159">
        <v>8.6999999999999994E-2</v>
      </c>
      <c r="Y46" s="1112">
        <v>1</v>
      </c>
      <c r="Z46" s="836"/>
      <c r="AA46" s="836"/>
      <c r="AB46" s="836"/>
      <c r="AC46" s="836"/>
      <c r="AD46" s="836"/>
      <c r="AE46" s="836"/>
      <c r="AF46" s="836"/>
      <c r="AG46" s="836"/>
      <c r="AH46" s="836"/>
      <c r="AI46" s="836"/>
      <c r="AJ46" s="836"/>
      <c r="AK46" s="836"/>
      <c r="AL46" s="836"/>
      <c r="AM46" s="836"/>
      <c r="AN46" s="836"/>
      <c r="AO46" s="836"/>
      <c r="AP46" s="836"/>
      <c r="AQ46" s="836"/>
      <c r="AR46" s="836"/>
      <c r="AS46" s="836"/>
      <c r="AT46" s="836"/>
      <c r="AU46" s="836"/>
      <c r="AV46" s="836"/>
      <c r="AW46" s="836"/>
      <c r="AX46" s="836"/>
      <c r="AY46" s="836"/>
      <c r="AZ46" s="836"/>
      <c r="BA46" s="836"/>
      <c r="BB46" s="836"/>
      <c r="BC46" s="836"/>
      <c r="BD46" s="836"/>
      <c r="BE46" s="836"/>
      <c r="BF46" s="836"/>
      <c r="BG46" s="836"/>
      <c r="BH46" s="836"/>
      <c r="BI46" s="836"/>
      <c r="BJ46" s="836"/>
      <c r="BK46" s="836"/>
      <c r="BL46" s="836"/>
      <c r="BM46" s="836"/>
      <c r="BN46" s="836"/>
      <c r="BO46" s="836"/>
      <c r="BP46" s="836"/>
      <c r="BQ46" s="836"/>
      <c r="BR46" s="836"/>
      <c r="BS46" s="836"/>
      <c r="BT46" s="836"/>
      <c r="BU46" s="836"/>
      <c r="BV46" s="836"/>
      <c r="BW46" s="836"/>
      <c r="BX46" s="836"/>
      <c r="BY46" s="836"/>
      <c r="BZ46" s="836"/>
      <c r="CA46" s="836"/>
      <c r="CB46" s="836"/>
      <c r="CC46" s="836"/>
      <c r="CD46" s="836"/>
      <c r="CE46" s="836"/>
      <c r="CF46" s="836"/>
      <c r="CG46" s="836"/>
      <c r="CH46" s="836"/>
      <c r="CI46" s="836"/>
      <c r="CJ46" s="836"/>
      <c r="CK46" s="836"/>
      <c r="CL46" s="836"/>
      <c r="CM46" s="836"/>
      <c r="CN46" s="836"/>
      <c r="CO46" s="836"/>
      <c r="CP46" s="836"/>
      <c r="CQ46" s="836"/>
      <c r="CR46" s="836"/>
      <c r="CS46" s="836"/>
      <c r="CT46" s="836"/>
      <c r="CU46" s="836"/>
      <c r="CV46" s="836"/>
      <c r="CW46" s="836"/>
      <c r="CX46" s="836"/>
      <c r="CY46" s="836"/>
      <c r="CZ46" s="836"/>
      <c r="DA46" s="836"/>
      <c r="DB46" s="836"/>
      <c r="DC46" s="836"/>
      <c r="DD46" s="837"/>
      <c r="DE46" s="1098"/>
      <c r="DF46" s="1098"/>
      <c r="DG46" s="1098"/>
      <c r="DH46" s="1098"/>
      <c r="DI46" s="1098"/>
      <c r="DJ46" s="1098"/>
      <c r="DK46" s="1098"/>
      <c r="DL46" s="1098"/>
      <c r="DM46" s="1098"/>
      <c r="DN46" s="1098"/>
      <c r="DO46" s="1098"/>
    </row>
    <row r="47" spans="1:119" s="1086" customFormat="1">
      <c r="A47" s="1089"/>
      <c r="B47" s="1148">
        <v>2</v>
      </c>
      <c r="C47" s="1090" t="s">
        <v>379</v>
      </c>
      <c r="D47" s="1149">
        <v>6.6964857954353793E-2</v>
      </c>
      <c r="E47" s="1089" t="s">
        <v>379</v>
      </c>
      <c r="F47" s="1150">
        <v>7.0510408614214301E-2</v>
      </c>
      <c r="G47" s="1089" t="s">
        <v>378</v>
      </c>
      <c r="H47" s="1150">
        <v>6.8434800871597007E-2</v>
      </c>
      <c r="I47" s="1089" t="s">
        <v>378</v>
      </c>
      <c r="J47" s="1150">
        <v>6.7000000000000004E-2</v>
      </c>
      <c r="K47" s="1089" t="s">
        <v>378</v>
      </c>
      <c r="L47" s="1150">
        <v>6.9000000000000006E-2</v>
      </c>
      <c r="M47" s="1089" t="s">
        <v>378</v>
      </c>
      <c r="N47" s="1150">
        <v>7.0771930886313394E-2</v>
      </c>
      <c r="O47" s="1089" t="s">
        <v>378</v>
      </c>
      <c r="P47" s="1150">
        <v>6.8637257268995999E-2</v>
      </c>
      <c r="Q47" s="1089" t="s">
        <v>376</v>
      </c>
      <c r="R47" s="1150">
        <v>7.6628203920873467E-2</v>
      </c>
      <c r="S47" s="1089" t="s">
        <v>378</v>
      </c>
      <c r="T47" s="1150">
        <v>7.9000000000000001E-2</v>
      </c>
      <c r="U47" s="1151" t="s">
        <v>376</v>
      </c>
      <c r="V47" s="1150">
        <v>8.1398128815288254E-2</v>
      </c>
      <c r="W47" s="1151" t="s">
        <v>376</v>
      </c>
      <c r="X47" s="1159">
        <v>8.1000000000000003E-2</v>
      </c>
      <c r="Y47" s="1113">
        <f t="shared" ref="Y47:Y78" si="0">Y46+1</f>
        <v>2</v>
      </c>
      <c r="Z47" s="834"/>
      <c r="AA47" s="834"/>
      <c r="AB47" s="834"/>
      <c r="AC47" s="834"/>
      <c r="AD47" s="834"/>
      <c r="AE47" s="834"/>
      <c r="AF47" s="834"/>
      <c r="AG47" s="834"/>
      <c r="AH47" s="834"/>
      <c r="AI47" s="834"/>
      <c r="AJ47" s="834"/>
      <c r="AK47" s="834"/>
      <c r="AL47" s="834"/>
      <c r="AM47" s="834"/>
      <c r="AN47" s="834"/>
      <c r="AO47" s="834"/>
      <c r="AP47" s="834"/>
      <c r="AQ47" s="834"/>
      <c r="AR47" s="834"/>
      <c r="AS47" s="834"/>
      <c r="AT47" s="834"/>
      <c r="AU47" s="834"/>
      <c r="AV47" s="834"/>
      <c r="AW47" s="834"/>
      <c r="AX47" s="834"/>
      <c r="AY47" s="834"/>
      <c r="AZ47" s="834"/>
      <c r="BA47" s="834"/>
      <c r="BB47" s="834"/>
      <c r="BC47" s="834"/>
      <c r="BD47" s="834"/>
      <c r="BE47" s="834"/>
      <c r="BF47" s="834"/>
      <c r="BG47" s="834"/>
      <c r="BH47" s="834"/>
      <c r="BI47" s="834"/>
      <c r="BJ47" s="834"/>
      <c r="BK47" s="834"/>
      <c r="BL47" s="834"/>
      <c r="BM47" s="834"/>
      <c r="BN47" s="834"/>
      <c r="BO47" s="834"/>
      <c r="BP47" s="834"/>
      <c r="BQ47" s="834"/>
      <c r="BR47" s="834"/>
      <c r="BS47" s="834"/>
      <c r="BT47" s="834"/>
      <c r="BU47" s="834"/>
      <c r="BV47" s="834"/>
      <c r="BW47" s="834"/>
      <c r="BX47" s="834"/>
      <c r="BY47" s="834"/>
      <c r="BZ47" s="834"/>
      <c r="CA47" s="834"/>
      <c r="CB47" s="834"/>
      <c r="CC47" s="834"/>
      <c r="CD47" s="834"/>
      <c r="CE47" s="834"/>
      <c r="CF47" s="834"/>
      <c r="CG47" s="834"/>
      <c r="CH47" s="834"/>
      <c r="CI47" s="834"/>
      <c r="CJ47" s="834"/>
      <c r="CK47" s="834"/>
      <c r="CL47" s="834"/>
      <c r="CM47" s="834"/>
      <c r="CN47" s="834"/>
      <c r="CO47" s="834"/>
      <c r="CP47" s="834"/>
      <c r="CQ47" s="834"/>
      <c r="CR47" s="834"/>
      <c r="CS47" s="834"/>
      <c r="CT47" s="834"/>
      <c r="CU47" s="834"/>
      <c r="CV47" s="834"/>
      <c r="CW47" s="834"/>
      <c r="CX47" s="834"/>
      <c r="CY47" s="834"/>
      <c r="CZ47" s="834"/>
      <c r="DA47" s="834"/>
      <c r="DB47" s="834"/>
      <c r="DC47" s="834"/>
      <c r="DD47" s="839"/>
      <c r="DE47" s="1098"/>
      <c r="DF47" s="1098"/>
      <c r="DG47" s="1098"/>
      <c r="DH47" s="1098"/>
      <c r="DI47" s="1098"/>
      <c r="DJ47" s="1098"/>
      <c r="DK47" s="1098"/>
      <c r="DL47" s="1098"/>
      <c r="DM47" s="1098"/>
      <c r="DN47" s="1098"/>
      <c r="DO47" s="1098"/>
    </row>
    <row r="48" spans="1:119" s="1086" customFormat="1">
      <c r="A48" s="1089"/>
      <c r="B48" s="1148">
        <v>3</v>
      </c>
      <c r="C48" s="1090" t="s">
        <v>378</v>
      </c>
      <c r="D48" s="1149">
        <v>6.5777489930984201E-2</v>
      </c>
      <c r="E48" s="1089" t="s">
        <v>378</v>
      </c>
      <c r="F48" s="1150">
        <v>6.22601366836096E-2</v>
      </c>
      <c r="G48" s="1089" t="s">
        <v>379</v>
      </c>
      <c r="H48" s="1150">
        <v>6.81722716652228E-2</v>
      </c>
      <c r="I48" s="1089" t="s">
        <v>380</v>
      </c>
      <c r="J48" s="1150">
        <v>6.6000000000000003E-2</v>
      </c>
      <c r="K48" s="1089" t="s">
        <v>380</v>
      </c>
      <c r="L48" s="1150">
        <v>6.7000000000000004E-2</v>
      </c>
      <c r="M48" s="1089" t="s">
        <v>380</v>
      </c>
      <c r="N48" s="1150">
        <v>6.76248978727267E-2</v>
      </c>
      <c r="O48" s="1089" t="s">
        <v>380</v>
      </c>
      <c r="P48" s="1150">
        <v>6.7361087158969393E-2</v>
      </c>
      <c r="Q48" s="1089" t="s">
        <v>380</v>
      </c>
      <c r="R48" s="1150">
        <v>7.0761850421834582E-2</v>
      </c>
      <c r="S48" s="1089" t="s">
        <v>380</v>
      </c>
      <c r="T48" s="1150">
        <v>7.2999999999999995E-2</v>
      </c>
      <c r="U48" s="1151" t="s">
        <v>380</v>
      </c>
      <c r="V48" s="1150">
        <v>7.7944778268330656E-2</v>
      </c>
      <c r="W48" s="1151" t="s">
        <v>380</v>
      </c>
      <c r="X48" s="1159">
        <v>7.9000000000000001E-2</v>
      </c>
      <c r="Y48" s="1113">
        <f t="shared" si="0"/>
        <v>3</v>
      </c>
      <c r="Z48" s="834"/>
      <c r="AA48" s="834"/>
      <c r="AB48" s="834"/>
      <c r="AC48" s="834"/>
      <c r="AD48" s="834"/>
      <c r="AE48" s="834"/>
      <c r="AF48" s="834"/>
      <c r="AG48" s="834"/>
      <c r="AH48" s="834"/>
      <c r="AI48" s="834"/>
      <c r="AJ48" s="834"/>
      <c r="AK48" s="834"/>
      <c r="AL48" s="834"/>
      <c r="AM48" s="834"/>
      <c r="AN48" s="834"/>
      <c r="AO48" s="834"/>
      <c r="AP48" s="834"/>
      <c r="AQ48" s="834"/>
      <c r="AR48" s="834"/>
      <c r="AS48" s="834"/>
      <c r="AT48" s="834"/>
      <c r="AU48" s="834"/>
      <c r="AV48" s="834"/>
      <c r="AW48" s="834"/>
      <c r="AX48" s="834"/>
      <c r="AY48" s="834"/>
      <c r="AZ48" s="834"/>
      <c r="BA48" s="834"/>
      <c r="BB48" s="834"/>
      <c r="BC48" s="834"/>
      <c r="BD48" s="834"/>
      <c r="BE48" s="834"/>
      <c r="BF48" s="834"/>
      <c r="BG48" s="834"/>
      <c r="BH48" s="834"/>
      <c r="BI48" s="834"/>
      <c r="BJ48" s="834"/>
      <c r="BK48" s="834"/>
      <c r="BL48" s="834"/>
      <c r="BM48" s="834"/>
      <c r="BN48" s="834"/>
      <c r="BO48" s="834"/>
      <c r="BP48" s="834"/>
      <c r="BQ48" s="834"/>
      <c r="BR48" s="834"/>
      <c r="BS48" s="834"/>
      <c r="BT48" s="834"/>
      <c r="BU48" s="834"/>
      <c r="BV48" s="834"/>
      <c r="BW48" s="834"/>
      <c r="BX48" s="834"/>
      <c r="BY48" s="834"/>
      <c r="BZ48" s="834"/>
      <c r="CA48" s="834"/>
      <c r="CB48" s="834"/>
      <c r="CC48" s="834"/>
      <c r="CD48" s="834"/>
      <c r="CE48" s="834"/>
      <c r="CF48" s="834"/>
      <c r="CG48" s="834"/>
      <c r="CH48" s="834"/>
      <c r="CI48" s="834"/>
      <c r="CJ48" s="834"/>
      <c r="CK48" s="834"/>
      <c r="CL48" s="834"/>
      <c r="CM48" s="834"/>
      <c r="CN48" s="834"/>
      <c r="CO48" s="834"/>
      <c r="CP48" s="834"/>
      <c r="CQ48" s="834"/>
      <c r="CR48" s="834"/>
      <c r="CS48" s="834"/>
      <c r="CT48" s="834"/>
      <c r="CU48" s="834"/>
      <c r="CV48" s="834"/>
      <c r="CW48" s="834"/>
      <c r="CX48" s="834"/>
      <c r="CY48" s="834"/>
      <c r="CZ48" s="834"/>
      <c r="DA48" s="834"/>
      <c r="DB48" s="834"/>
      <c r="DC48" s="834"/>
      <c r="DD48" s="839"/>
      <c r="DE48" s="1098"/>
      <c r="DF48" s="1098"/>
      <c r="DG48" s="1098"/>
      <c r="DH48" s="1098"/>
      <c r="DI48" s="1098"/>
      <c r="DJ48" s="1098"/>
      <c r="DK48" s="1098"/>
      <c r="DL48" s="1098"/>
      <c r="DM48" s="1098"/>
      <c r="DN48" s="1098"/>
      <c r="DO48" s="1098"/>
    </row>
    <row r="49" spans="1:119" s="1086" customFormat="1">
      <c r="A49" s="1089"/>
      <c r="B49" s="1148">
        <v>4</v>
      </c>
      <c r="C49" s="1090" t="s">
        <v>380</v>
      </c>
      <c r="D49" s="1149">
        <v>5.7965148049950399E-2</v>
      </c>
      <c r="E49" s="1089" t="s">
        <v>380</v>
      </c>
      <c r="F49" s="1150">
        <v>6.19728137805537E-2</v>
      </c>
      <c r="G49" s="1089" t="s">
        <v>380</v>
      </c>
      <c r="H49" s="1150">
        <v>6.42343335696096E-2</v>
      </c>
      <c r="I49" s="1089" t="s">
        <v>379</v>
      </c>
      <c r="J49" s="1150">
        <v>6.4000000000000001E-2</v>
      </c>
      <c r="K49" s="1089" t="s">
        <v>379</v>
      </c>
      <c r="L49" s="1150">
        <v>6.5000000000000002E-2</v>
      </c>
      <c r="M49" s="1089" t="s">
        <v>379</v>
      </c>
      <c r="N49" s="1150">
        <v>6.2952764244863402E-2</v>
      </c>
      <c r="O49" s="1089" t="s">
        <v>379</v>
      </c>
      <c r="P49" s="1150">
        <v>6.1635567205877297E-2</v>
      </c>
      <c r="Q49" s="1089" t="s">
        <v>379</v>
      </c>
      <c r="R49" s="1150">
        <v>6.2347316932656036E-2</v>
      </c>
      <c r="S49" s="1089" t="s">
        <v>379</v>
      </c>
      <c r="T49" s="1150">
        <v>6.3E-2</v>
      </c>
      <c r="U49" s="1151" t="s">
        <v>379</v>
      </c>
      <c r="V49" s="1150">
        <v>6.4041057681579833E-2</v>
      </c>
      <c r="W49" s="1151" t="s">
        <v>379</v>
      </c>
      <c r="X49" s="1159">
        <v>7.1999999999999995E-2</v>
      </c>
      <c r="Y49" s="1113">
        <f t="shared" si="0"/>
        <v>4</v>
      </c>
      <c r="Z49" s="834"/>
      <c r="AA49" s="834"/>
      <c r="AB49" s="834"/>
      <c r="AC49" s="834"/>
      <c r="AD49" s="834"/>
      <c r="AE49" s="834"/>
      <c r="AF49" s="834"/>
      <c r="AG49" s="834"/>
      <c r="AH49" s="834"/>
      <c r="AI49" s="834"/>
      <c r="AJ49" s="834"/>
      <c r="AK49" s="834"/>
      <c r="AL49" s="834"/>
      <c r="AM49" s="834"/>
      <c r="AN49" s="834"/>
      <c r="AO49" s="834"/>
      <c r="AP49" s="834"/>
      <c r="AQ49" s="834"/>
      <c r="AR49" s="834"/>
      <c r="AS49" s="834"/>
      <c r="AT49" s="834"/>
      <c r="AU49" s="834"/>
      <c r="AV49" s="834"/>
      <c r="AW49" s="834"/>
      <c r="AX49" s="834"/>
      <c r="AY49" s="834"/>
      <c r="AZ49" s="834"/>
      <c r="BA49" s="834"/>
      <c r="BB49" s="834"/>
      <c r="BC49" s="834"/>
      <c r="BD49" s="834"/>
      <c r="BE49" s="834"/>
      <c r="BF49" s="834"/>
      <c r="BG49" s="834"/>
      <c r="BH49" s="834"/>
      <c r="BI49" s="834"/>
      <c r="BJ49" s="834"/>
      <c r="BK49" s="834"/>
      <c r="BL49" s="834"/>
      <c r="BM49" s="834"/>
      <c r="BN49" s="834"/>
      <c r="BO49" s="834"/>
      <c r="BP49" s="834"/>
      <c r="BQ49" s="834"/>
      <c r="BR49" s="834"/>
      <c r="BS49" s="834"/>
      <c r="BT49" s="834"/>
      <c r="BU49" s="834"/>
      <c r="BV49" s="834"/>
      <c r="BW49" s="834"/>
      <c r="BX49" s="834"/>
      <c r="BY49" s="834"/>
      <c r="BZ49" s="834"/>
      <c r="CA49" s="834"/>
      <c r="CB49" s="834"/>
      <c r="CC49" s="834"/>
      <c r="CD49" s="834"/>
      <c r="CE49" s="834"/>
      <c r="CF49" s="834"/>
      <c r="CG49" s="834"/>
      <c r="CH49" s="834"/>
      <c r="CI49" s="834"/>
      <c r="CJ49" s="834"/>
      <c r="CK49" s="834"/>
      <c r="CL49" s="834"/>
      <c r="CM49" s="834"/>
      <c r="CN49" s="834"/>
      <c r="CO49" s="834"/>
      <c r="CP49" s="834"/>
      <c r="CQ49" s="834"/>
      <c r="CR49" s="834"/>
      <c r="CS49" s="834"/>
      <c r="CT49" s="834"/>
      <c r="CU49" s="834"/>
      <c r="CV49" s="834"/>
      <c r="CW49" s="834"/>
      <c r="CX49" s="834"/>
      <c r="CY49" s="834"/>
      <c r="CZ49" s="834"/>
      <c r="DA49" s="834"/>
      <c r="DB49" s="834"/>
      <c r="DC49" s="834"/>
      <c r="DD49" s="839"/>
      <c r="DE49" s="1098"/>
      <c r="DF49" s="1098"/>
      <c r="DG49" s="1098"/>
      <c r="DH49" s="1098"/>
      <c r="DI49" s="1098"/>
      <c r="DJ49" s="1098"/>
      <c r="DK49" s="1098"/>
      <c r="DL49" s="1098"/>
      <c r="DM49" s="1098"/>
      <c r="DN49" s="1098"/>
      <c r="DO49" s="1098"/>
    </row>
    <row r="50" spans="1:119" s="1086" customFormat="1">
      <c r="A50" s="1089"/>
      <c r="B50" s="1148">
        <v>5</v>
      </c>
      <c r="C50" s="1090" t="s">
        <v>381</v>
      </c>
      <c r="D50" s="1149">
        <v>4.66851518279396E-2</v>
      </c>
      <c r="E50" s="1089" t="s">
        <v>381</v>
      </c>
      <c r="F50" s="1150">
        <v>4.9556359755638699E-2</v>
      </c>
      <c r="G50" s="1089" t="s">
        <v>381</v>
      </c>
      <c r="H50" s="1150">
        <v>5.2020162243049499E-2</v>
      </c>
      <c r="I50" s="1089" t="s">
        <v>381</v>
      </c>
      <c r="J50" s="1150">
        <v>4.9000000000000002E-2</v>
      </c>
      <c r="K50" s="1089" t="s">
        <v>381</v>
      </c>
      <c r="L50" s="1150">
        <v>5.2999999999999999E-2</v>
      </c>
      <c r="M50" s="1089" t="s">
        <v>381</v>
      </c>
      <c r="N50" s="1150">
        <v>4.9729173601234598E-2</v>
      </c>
      <c r="O50" s="1089" t="s">
        <v>381</v>
      </c>
      <c r="P50" s="1150">
        <v>5.1960818128513803E-2</v>
      </c>
      <c r="Q50" s="1089" t="s">
        <v>381</v>
      </c>
      <c r="R50" s="1150">
        <v>5.3373291749990309E-2</v>
      </c>
      <c r="S50" s="1089" t="s">
        <v>381</v>
      </c>
      <c r="T50" s="1150">
        <v>0.05</v>
      </c>
      <c r="U50" s="1151" t="s">
        <v>381</v>
      </c>
      <c r="V50" s="1150">
        <v>4.993544890900687E-2</v>
      </c>
      <c r="W50" s="1151" t="s">
        <v>385</v>
      </c>
      <c r="X50" s="1159">
        <v>4.8000000000000001E-2</v>
      </c>
      <c r="Y50" s="1113">
        <f t="shared" si="0"/>
        <v>5</v>
      </c>
      <c r="Z50" s="834"/>
      <c r="AA50" s="834"/>
      <c r="AB50" s="834"/>
      <c r="AC50" s="834"/>
      <c r="AD50" s="834"/>
      <c r="AE50" s="834"/>
      <c r="AF50" s="834"/>
      <c r="AG50" s="834"/>
      <c r="AH50" s="834"/>
      <c r="AI50" s="834"/>
      <c r="AJ50" s="834"/>
      <c r="AK50" s="834"/>
      <c r="AL50" s="834"/>
      <c r="AM50" s="834"/>
      <c r="AN50" s="834"/>
      <c r="AO50" s="834"/>
      <c r="AP50" s="834"/>
      <c r="AQ50" s="834"/>
      <c r="AR50" s="834"/>
      <c r="AS50" s="834"/>
      <c r="AT50" s="834"/>
      <c r="AU50" s="834"/>
      <c r="AV50" s="834"/>
      <c r="AW50" s="834"/>
      <c r="AX50" s="834"/>
      <c r="AY50" s="834"/>
      <c r="AZ50" s="834"/>
      <c r="BA50" s="834"/>
      <c r="BB50" s="834"/>
      <c r="BC50" s="834"/>
      <c r="BD50" s="834"/>
      <c r="BE50" s="834"/>
      <c r="BF50" s="834"/>
      <c r="BG50" s="834"/>
      <c r="BH50" s="834"/>
      <c r="BI50" s="834"/>
      <c r="BJ50" s="834"/>
      <c r="BK50" s="834"/>
      <c r="BL50" s="834"/>
      <c r="BM50" s="834"/>
      <c r="BN50" s="834"/>
      <c r="BO50" s="834"/>
      <c r="BP50" s="834"/>
      <c r="BQ50" s="834"/>
      <c r="BR50" s="834"/>
      <c r="BS50" s="834"/>
      <c r="BT50" s="834"/>
      <c r="BU50" s="834"/>
      <c r="BV50" s="834"/>
      <c r="BW50" s="834"/>
      <c r="BX50" s="834"/>
      <c r="BY50" s="834"/>
      <c r="BZ50" s="834"/>
      <c r="CA50" s="834"/>
      <c r="CB50" s="834"/>
      <c r="CC50" s="834"/>
      <c r="CD50" s="834"/>
      <c r="CE50" s="834"/>
      <c r="CF50" s="834"/>
      <c r="CG50" s="834"/>
      <c r="CH50" s="834"/>
      <c r="CI50" s="834"/>
      <c r="CJ50" s="834"/>
      <c r="CK50" s="834"/>
      <c r="CL50" s="834"/>
      <c r="CM50" s="834"/>
      <c r="CN50" s="834"/>
      <c r="CO50" s="834"/>
      <c r="CP50" s="834"/>
      <c r="CQ50" s="834"/>
      <c r="CR50" s="834"/>
      <c r="CS50" s="834"/>
      <c r="CT50" s="834"/>
      <c r="CU50" s="834"/>
      <c r="CV50" s="834"/>
      <c r="CW50" s="834"/>
      <c r="CX50" s="834"/>
      <c r="CY50" s="834"/>
      <c r="CZ50" s="834"/>
      <c r="DA50" s="834"/>
      <c r="DB50" s="834"/>
      <c r="DC50" s="834"/>
      <c r="DD50" s="839"/>
      <c r="DE50" s="1098"/>
      <c r="DF50" s="1098"/>
      <c r="DG50" s="1098"/>
      <c r="DH50" s="1098"/>
      <c r="DI50" s="1098"/>
      <c r="DJ50" s="1098"/>
      <c r="DK50" s="1098"/>
      <c r="DL50" s="1098"/>
      <c r="DM50" s="1098"/>
      <c r="DN50" s="1098"/>
      <c r="DO50" s="1098"/>
    </row>
    <row r="51" spans="1:119" s="1086" customFormat="1">
      <c r="A51" s="1089"/>
      <c r="B51" s="1148">
        <v>6</v>
      </c>
      <c r="C51" s="1090" t="s">
        <v>382</v>
      </c>
      <c r="D51" s="1149">
        <v>4.4890606974437898E-2</v>
      </c>
      <c r="E51" s="1089" t="s">
        <v>382</v>
      </c>
      <c r="F51" s="1150">
        <v>4.5424382768835002E-2</v>
      </c>
      <c r="G51" s="1089" t="s">
        <v>382</v>
      </c>
      <c r="H51" s="1150">
        <v>4.6966475020346003E-2</v>
      </c>
      <c r="I51" s="1089" t="s">
        <v>382</v>
      </c>
      <c r="J51" s="1150">
        <v>4.8000000000000001E-2</v>
      </c>
      <c r="K51" s="1089" t="s">
        <v>382</v>
      </c>
      <c r="L51" s="1150">
        <v>4.7E-2</v>
      </c>
      <c r="M51" s="1089" t="s">
        <v>382</v>
      </c>
      <c r="N51" s="1150">
        <v>4.8409840530154E-2</v>
      </c>
      <c r="O51" s="1089" t="s">
        <v>382</v>
      </c>
      <c r="P51" s="1150">
        <v>5.0265006495820802E-2</v>
      </c>
      <c r="Q51" s="1089" t="s">
        <v>382</v>
      </c>
      <c r="R51" s="1150">
        <v>5.0104973936550321E-2</v>
      </c>
      <c r="S51" s="1089" t="s">
        <v>382</v>
      </c>
      <c r="T51" s="1150">
        <v>4.8000000000000001E-2</v>
      </c>
      <c r="U51" s="1151" t="s">
        <v>382</v>
      </c>
      <c r="V51" s="1150">
        <v>4.8702868406092774E-2</v>
      </c>
      <c r="W51" s="1151" t="s">
        <v>381</v>
      </c>
      <c r="X51" s="1159">
        <v>4.8000000000000001E-2</v>
      </c>
      <c r="Y51" s="1113">
        <f t="shared" si="0"/>
        <v>6</v>
      </c>
      <c r="Z51" s="834"/>
      <c r="AA51" s="834"/>
      <c r="AB51" s="834"/>
      <c r="AC51" s="834"/>
      <c r="AD51" s="834"/>
      <c r="AE51" s="834"/>
      <c r="AF51" s="834"/>
      <c r="AG51" s="834"/>
      <c r="AH51" s="834"/>
      <c r="AI51" s="834"/>
      <c r="AJ51" s="834"/>
      <c r="AK51" s="834"/>
      <c r="AL51" s="834"/>
      <c r="AM51" s="834"/>
      <c r="AN51" s="834"/>
      <c r="AO51" s="834"/>
      <c r="AP51" s="834"/>
      <c r="AQ51" s="834"/>
      <c r="AR51" s="834"/>
      <c r="AS51" s="834"/>
      <c r="AT51" s="834"/>
      <c r="AU51" s="834"/>
      <c r="AV51" s="834"/>
      <c r="AW51" s="834"/>
      <c r="AX51" s="834"/>
      <c r="AY51" s="834"/>
      <c r="AZ51" s="834"/>
      <c r="BA51" s="834"/>
      <c r="BB51" s="834"/>
      <c r="BC51" s="834"/>
      <c r="BD51" s="834"/>
      <c r="BE51" s="834"/>
      <c r="BF51" s="834"/>
      <c r="BG51" s="834"/>
      <c r="BH51" s="834"/>
      <c r="BI51" s="834"/>
      <c r="BJ51" s="834"/>
      <c r="BK51" s="834"/>
      <c r="BL51" s="834"/>
      <c r="BM51" s="834"/>
      <c r="BN51" s="834"/>
      <c r="BO51" s="834"/>
      <c r="BP51" s="834"/>
      <c r="BQ51" s="834"/>
      <c r="BR51" s="834"/>
      <c r="BS51" s="834"/>
      <c r="BT51" s="834"/>
      <c r="BU51" s="834"/>
      <c r="BV51" s="834"/>
      <c r="BW51" s="834"/>
      <c r="BX51" s="834"/>
      <c r="BY51" s="834"/>
      <c r="BZ51" s="834"/>
      <c r="CA51" s="834"/>
      <c r="CB51" s="834"/>
      <c r="CC51" s="834"/>
      <c r="CD51" s="834"/>
      <c r="CE51" s="834"/>
      <c r="CF51" s="834"/>
      <c r="CG51" s="834"/>
      <c r="CH51" s="834"/>
      <c r="CI51" s="834"/>
      <c r="CJ51" s="834"/>
      <c r="CK51" s="834"/>
      <c r="CL51" s="834"/>
      <c r="CM51" s="834"/>
      <c r="CN51" s="834"/>
      <c r="CO51" s="834"/>
      <c r="CP51" s="834"/>
      <c r="CQ51" s="834"/>
      <c r="CR51" s="834"/>
      <c r="CS51" s="834"/>
      <c r="CT51" s="834"/>
      <c r="CU51" s="834"/>
      <c r="CV51" s="834"/>
      <c r="CW51" s="834"/>
      <c r="CX51" s="834"/>
      <c r="CY51" s="834"/>
      <c r="CZ51" s="834"/>
      <c r="DA51" s="834"/>
      <c r="DB51" s="834"/>
      <c r="DC51" s="834"/>
      <c r="DD51" s="839"/>
      <c r="DE51" s="1098"/>
      <c r="DF51" s="1098"/>
      <c r="DG51" s="1098"/>
      <c r="DH51" s="1098"/>
      <c r="DI51" s="1098"/>
      <c r="DJ51" s="1098"/>
      <c r="DK51" s="1098"/>
      <c r="DL51" s="1098"/>
      <c r="DM51" s="1098"/>
      <c r="DN51" s="1098"/>
      <c r="DO51" s="1098"/>
    </row>
    <row r="52" spans="1:119" s="1086" customFormat="1">
      <c r="A52" s="1089"/>
      <c r="B52" s="1148">
        <v>7</v>
      </c>
      <c r="C52" s="1090" t="s">
        <v>383</v>
      </c>
      <c r="D52" s="1149">
        <v>4.4290176553529403E-2</v>
      </c>
      <c r="E52" s="1089" t="s">
        <v>383</v>
      </c>
      <c r="F52" s="1150">
        <v>4.1942302824657801E-2</v>
      </c>
      <c r="G52" s="1089" t="s">
        <v>383</v>
      </c>
      <c r="H52" s="1150">
        <v>4.1236775091228903E-2</v>
      </c>
      <c r="I52" s="1089" t="s">
        <v>383</v>
      </c>
      <c r="J52" s="1150">
        <v>0.04</v>
      </c>
      <c r="K52" s="1089" t="s">
        <v>384</v>
      </c>
      <c r="L52" s="1150">
        <v>0.04</v>
      </c>
      <c r="M52" s="1089" t="s">
        <v>383</v>
      </c>
      <c r="N52" s="1150">
        <v>3.9107937180379498E-2</v>
      </c>
      <c r="O52" s="1089" t="s">
        <v>385</v>
      </c>
      <c r="P52" s="1150">
        <v>4.2774692741926197E-2</v>
      </c>
      <c r="Q52" s="1089" t="s">
        <v>385</v>
      </c>
      <c r="R52" s="1150">
        <v>4.2637698661097602E-2</v>
      </c>
      <c r="S52" s="1089" t="s">
        <v>385</v>
      </c>
      <c r="T52" s="1150">
        <v>4.8000000000000001E-2</v>
      </c>
      <c r="U52" s="1151" t="s">
        <v>385</v>
      </c>
      <c r="V52" s="1150">
        <v>4.7953756979752737E-2</v>
      </c>
      <c r="W52" s="1151" t="s">
        <v>382</v>
      </c>
      <c r="X52" s="1159">
        <v>4.8000000000000001E-2</v>
      </c>
      <c r="Y52" s="1113">
        <f t="shared" si="0"/>
        <v>7</v>
      </c>
      <c r="Z52" s="834"/>
      <c r="AA52" s="834"/>
      <c r="AB52" s="834"/>
      <c r="AC52" s="834"/>
      <c r="AD52" s="834"/>
      <c r="AE52" s="834"/>
      <c r="AF52" s="834"/>
      <c r="AG52" s="834"/>
      <c r="AH52" s="834"/>
      <c r="AI52" s="834"/>
      <c r="AJ52" s="834"/>
      <c r="AK52" s="834"/>
      <c r="AL52" s="834"/>
      <c r="AM52" s="834"/>
      <c r="AN52" s="834"/>
      <c r="AO52" s="834"/>
      <c r="AP52" s="834"/>
      <c r="AQ52" s="834"/>
      <c r="AR52" s="834"/>
      <c r="AS52" s="834"/>
      <c r="AT52" s="834"/>
      <c r="AU52" s="834"/>
      <c r="AV52" s="834"/>
      <c r="AW52" s="834"/>
      <c r="AX52" s="834"/>
      <c r="AY52" s="834"/>
      <c r="AZ52" s="834"/>
      <c r="BA52" s="834"/>
      <c r="BB52" s="834"/>
      <c r="BC52" s="834"/>
      <c r="BD52" s="834"/>
      <c r="BE52" s="834"/>
      <c r="BF52" s="834"/>
      <c r="BG52" s="834"/>
      <c r="BH52" s="834"/>
      <c r="BI52" s="834"/>
      <c r="BJ52" s="834"/>
      <c r="BK52" s="834"/>
      <c r="BL52" s="834"/>
      <c r="BM52" s="834"/>
      <c r="BN52" s="834"/>
      <c r="BO52" s="834"/>
      <c r="BP52" s="834"/>
      <c r="BQ52" s="834"/>
      <c r="BR52" s="834"/>
      <c r="BS52" s="834"/>
      <c r="BT52" s="834"/>
      <c r="BU52" s="834"/>
      <c r="BV52" s="834"/>
      <c r="BW52" s="834"/>
      <c r="BX52" s="834"/>
      <c r="BY52" s="834"/>
      <c r="BZ52" s="834"/>
      <c r="CA52" s="834"/>
      <c r="CB52" s="834"/>
      <c r="CC52" s="834"/>
      <c r="CD52" s="834"/>
      <c r="CE52" s="834"/>
      <c r="CF52" s="834"/>
      <c r="CG52" s="834"/>
      <c r="CH52" s="834"/>
      <c r="CI52" s="834"/>
      <c r="CJ52" s="834"/>
      <c r="CK52" s="834"/>
      <c r="CL52" s="834"/>
      <c r="CM52" s="834"/>
      <c r="CN52" s="834"/>
      <c r="CO52" s="834"/>
      <c r="CP52" s="834"/>
      <c r="CQ52" s="834"/>
      <c r="CR52" s="834"/>
      <c r="CS52" s="834"/>
      <c r="CT52" s="834"/>
      <c r="CU52" s="834"/>
      <c r="CV52" s="834"/>
      <c r="CW52" s="834"/>
      <c r="CX52" s="834"/>
      <c r="CY52" s="834"/>
      <c r="CZ52" s="834"/>
      <c r="DA52" s="834"/>
      <c r="DB52" s="834"/>
      <c r="DC52" s="834"/>
      <c r="DD52" s="839"/>
      <c r="DE52" s="1098"/>
      <c r="DF52" s="1098"/>
      <c r="DG52" s="1098"/>
      <c r="DH52" s="1098"/>
      <c r="DI52" s="1098"/>
      <c r="DJ52" s="1098"/>
      <c r="DK52" s="1098"/>
      <c r="DL52" s="1098"/>
      <c r="DM52" s="1098"/>
      <c r="DN52" s="1098"/>
      <c r="DO52" s="1098"/>
    </row>
    <row r="53" spans="1:119" s="1086" customFormat="1">
      <c r="A53" s="1089"/>
      <c r="B53" s="1148">
        <v>8</v>
      </c>
      <c r="C53" s="1090" t="s">
        <v>385</v>
      </c>
      <c r="D53" s="1149">
        <v>4.2340464287882802E-2</v>
      </c>
      <c r="E53" s="1089" t="s">
        <v>384</v>
      </c>
      <c r="F53" s="1150">
        <v>3.7016767343699797E-2</v>
      </c>
      <c r="G53" s="1089" t="s">
        <v>386</v>
      </c>
      <c r="H53" s="1150">
        <v>3.7764826336929999E-2</v>
      </c>
      <c r="I53" s="1089" t="s">
        <v>384</v>
      </c>
      <c r="J53" s="1150">
        <v>0.04</v>
      </c>
      <c r="K53" s="1089" t="s">
        <v>383</v>
      </c>
      <c r="L53" s="1150">
        <v>3.9E-2</v>
      </c>
      <c r="M53" s="1089" t="s">
        <v>385</v>
      </c>
      <c r="N53" s="1150">
        <v>3.8309074953853599E-2</v>
      </c>
      <c r="O53" s="1089" t="s">
        <v>386</v>
      </c>
      <c r="P53" s="1150">
        <v>3.8756481449545299E-2</v>
      </c>
      <c r="Q53" s="1089" t="s">
        <v>386</v>
      </c>
      <c r="R53" s="1150">
        <v>3.7674287202042973E-2</v>
      </c>
      <c r="S53" s="1089" t="s">
        <v>386</v>
      </c>
      <c r="T53" s="1150">
        <v>0.04</v>
      </c>
      <c r="U53" s="1151" t="s">
        <v>386</v>
      </c>
      <c r="V53" s="1150">
        <v>4.0436078481375815E-2</v>
      </c>
      <c r="W53" s="1151" t="s">
        <v>386</v>
      </c>
      <c r="X53" s="1159">
        <v>4.2000000000000003E-2</v>
      </c>
      <c r="Y53" s="1113">
        <f t="shared" si="0"/>
        <v>8</v>
      </c>
      <c r="Z53" s="834"/>
      <c r="AA53" s="834"/>
      <c r="AB53" s="834"/>
      <c r="AC53" s="834"/>
      <c r="AD53" s="834"/>
      <c r="AE53" s="834"/>
      <c r="AF53" s="834"/>
      <c r="AG53" s="834"/>
      <c r="AH53" s="834"/>
      <c r="AI53" s="834"/>
      <c r="AJ53" s="834"/>
      <c r="AK53" s="834"/>
      <c r="AL53" s="834"/>
      <c r="AM53" s="834"/>
      <c r="AN53" s="834"/>
      <c r="AO53" s="834"/>
      <c r="AP53" s="834"/>
      <c r="AQ53" s="834"/>
      <c r="AR53" s="834"/>
      <c r="AS53" s="834"/>
      <c r="AT53" s="834"/>
      <c r="AU53" s="834"/>
      <c r="AV53" s="834"/>
      <c r="AW53" s="834"/>
      <c r="AX53" s="834"/>
      <c r="AY53" s="834"/>
      <c r="AZ53" s="834"/>
      <c r="BA53" s="834"/>
      <c r="BB53" s="834"/>
      <c r="BC53" s="834"/>
      <c r="BD53" s="834"/>
      <c r="BE53" s="834"/>
      <c r="BF53" s="834"/>
      <c r="BG53" s="834"/>
      <c r="BH53" s="834"/>
      <c r="BI53" s="834"/>
      <c r="BJ53" s="834"/>
      <c r="BK53" s="834"/>
      <c r="BL53" s="834"/>
      <c r="BM53" s="834"/>
      <c r="BN53" s="834"/>
      <c r="BO53" s="834"/>
      <c r="BP53" s="834"/>
      <c r="BQ53" s="834"/>
      <c r="BR53" s="834"/>
      <c r="BS53" s="834"/>
      <c r="BT53" s="834"/>
      <c r="BU53" s="834"/>
      <c r="BV53" s="834"/>
      <c r="BW53" s="834"/>
      <c r="BX53" s="834"/>
      <c r="BY53" s="834"/>
      <c r="BZ53" s="834"/>
      <c r="CA53" s="834"/>
      <c r="CB53" s="834"/>
      <c r="CC53" s="834"/>
      <c r="CD53" s="834"/>
      <c r="CE53" s="834"/>
      <c r="CF53" s="834"/>
      <c r="CG53" s="834"/>
      <c r="CH53" s="834"/>
      <c r="CI53" s="834"/>
      <c r="CJ53" s="834"/>
      <c r="CK53" s="834"/>
      <c r="CL53" s="834"/>
      <c r="CM53" s="834"/>
      <c r="CN53" s="834"/>
      <c r="CO53" s="834"/>
      <c r="CP53" s="834"/>
      <c r="CQ53" s="834"/>
      <c r="CR53" s="834"/>
      <c r="CS53" s="834"/>
      <c r="CT53" s="834"/>
      <c r="CU53" s="834"/>
      <c r="CV53" s="834"/>
      <c r="CW53" s="834"/>
      <c r="CX53" s="834"/>
      <c r="CY53" s="834"/>
      <c r="CZ53" s="834"/>
      <c r="DA53" s="834"/>
      <c r="DB53" s="834"/>
      <c r="DC53" s="834"/>
      <c r="DD53" s="839"/>
      <c r="DE53" s="1098"/>
      <c r="DF53" s="1098"/>
      <c r="DG53" s="1098"/>
      <c r="DH53" s="1098"/>
      <c r="DI53" s="1098"/>
      <c r="DJ53" s="1098"/>
      <c r="DK53" s="1098"/>
      <c r="DL53" s="1098"/>
      <c r="DM53" s="1098"/>
      <c r="DN53" s="1098"/>
      <c r="DO53" s="1098"/>
    </row>
    <row r="54" spans="1:119" s="1086" customFormat="1">
      <c r="A54" s="1089"/>
      <c r="B54" s="1148">
        <v>9</v>
      </c>
      <c r="C54" s="1090" t="s">
        <v>384</v>
      </c>
      <c r="D54" s="1149">
        <v>3.97430967367619E-2</v>
      </c>
      <c r="E54" s="1089" t="s">
        <v>385</v>
      </c>
      <c r="F54" s="1150">
        <v>3.69141520211798E-2</v>
      </c>
      <c r="G54" s="1089" t="s">
        <v>384</v>
      </c>
      <c r="H54" s="1150">
        <v>3.5474259011314999E-2</v>
      </c>
      <c r="I54" s="1089" t="s">
        <v>386</v>
      </c>
      <c r="J54" s="1150">
        <v>3.7999999999999999E-2</v>
      </c>
      <c r="K54" s="1089" t="s">
        <v>385</v>
      </c>
      <c r="L54" s="1150">
        <v>3.5999999999999997E-2</v>
      </c>
      <c r="M54" s="1089" t="s">
        <v>386</v>
      </c>
      <c r="N54" s="1150">
        <v>3.7994371652494897E-2</v>
      </c>
      <c r="O54" s="1089" t="s">
        <v>387</v>
      </c>
      <c r="P54" s="1150">
        <v>3.66697708642316E-2</v>
      </c>
      <c r="Q54" s="1089" t="s">
        <v>387</v>
      </c>
      <c r="R54" s="1150">
        <v>3.5652361775084337E-2</v>
      </c>
      <c r="S54" s="1089" t="s">
        <v>387</v>
      </c>
      <c r="T54" s="1150">
        <v>3.5000000000000003E-2</v>
      </c>
      <c r="U54" s="1151" t="s">
        <v>387</v>
      </c>
      <c r="V54" s="1150">
        <v>3.4267863119810012E-2</v>
      </c>
      <c r="W54" s="1151" t="s">
        <v>387</v>
      </c>
      <c r="X54" s="1159">
        <v>3.3000000000000002E-2</v>
      </c>
      <c r="Y54" s="1113">
        <f t="shared" si="0"/>
        <v>9</v>
      </c>
      <c r="Z54" s="834"/>
      <c r="AA54" s="834"/>
      <c r="AB54" s="834"/>
      <c r="AC54" s="834"/>
      <c r="AD54" s="834"/>
      <c r="AE54" s="834"/>
      <c r="AF54" s="834"/>
      <c r="AG54" s="834"/>
      <c r="AH54" s="834"/>
      <c r="AI54" s="834"/>
      <c r="AJ54" s="834"/>
      <c r="AK54" s="834"/>
      <c r="AL54" s="834"/>
      <c r="AM54" s="834"/>
      <c r="AN54" s="834"/>
      <c r="AO54" s="834"/>
      <c r="AP54" s="834"/>
      <c r="AQ54" s="834"/>
      <c r="AR54" s="834"/>
      <c r="AS54" s="834"/>
      <c r="AT54" s="834"/>
      <c r="AU54" s="834"/>
      <c r="AV54" s="834"/>
      <c r="AW54" s="834"/>
      <c r="AX54" s="834"/>
      <c r="AY54" s="834"/>
      <c r="AZ54" s="834"/>
      <c r="BA54" s="834"/>
      <c r="BB54" s="834"/>
      <c r="BC54" s="834"/>
      <c r="BD54" s="834"/>
      <c r="BE54" s="834"/>
      <c r="BF54" s="834"/>
      <c r="BG54" s="834"/>
      <c r="BH54" s="834"/>
      <c r="BI54" s="834"/>
      <c r="BJ54" s="834"/>
      <c r="BK54" s="834"/>
      <c r="BL54" s="834"/>
      <c r="BM54" s="834"/>
      <c r="BN54" s="834"/>
      <c r="BO54" s="834"/>
      <c r="BP54" s="834"/>
      <c r="BQ54" s="834"/>
      <c r="BR54" s="834"/>
      <c r="BS54" s="834"/>
      <c r="BT54" s="834"/>
      <c r="BU54" s="834"/>
      <c r="BV54" s="834"/>
      <c r="BW54" s="834"/>
      <c r="BX54" s="834"/>
      <c r="BY54" s="834"/>
      <c r="BZ54" s="834"/>
      <c r="CA54" s="834"/>
      <c r="CB54" s="834"/>
      <c r="CC54" s="834"/>
      <c r="CD54" s="834"/>
      <c r="CE54" s="834"/>
      <c r="CF54" s="834"/>
      <c r="CG54" s="834"/>
      <c r="CH54" s="834"/>
      <c r="CI54" s="834"/>
      <c r="CJ54" s="834"/>
      <c r="CK54" s="834"/>
      <c r="CL54" s="834"/>
      <c r="CM54" s="834"/>
      <c r="CN54" s="834"/>
      <c r="CO54" s="834"/>
      <c r="CP54" s="834"/>
      <c r="CQ54" s="834"/>
      <c r="CR54" s="834"/>
      <c r="CS54" s="834"/>
      <c r="CT54" s="834"/>
      <c r="CU54" s="834"/>
      <c r="CV54" s="834"/>
      <c r="CW54" s="834"/>
      <c r="CX54" s="834"/>
      <c r="CY54" s="834"/>
      <c r="CZ54" s="834"/>
      <c r="DA54" s="834"/>
      <c r="DB54" s="834"/>
      <c r="DC54" s="834"/>
      <c r="DD54" s="839"/>
      <c r="DE54" s="1098"/>
      <c r="DF54" s="1098"/>
      <c r="DG54" s="1098"/>
      <c r="DH54" s="1098"/>
      <c r="DI54" s="1098"/>
      <c r="DJ54" s="1098"/>
      <c r="DK54" s="1098"/>
      <c r="DL54" s="1098"/>
      <c r="DM54" s="1098"/>
      <c r="DN54" s="1098"/>
      <c r="DO54" s="1098"/>
    </row>
    <row r="55" spans="1:119" s="1086" customFormat="1">
      <c r="A55" s="1089"/>
      <c r="B55" s="1148">
        <v>10</v>
      </c>
      <c r="C55" s="1090" t="s">
        <v>386</v>
      </c>
      <c r="D55" s="1149">
        <v>3.7692188332759897E-2</v>
      </c>
      <c r="E55" s="1089" t="s">
        <v>386</v>
      </c>
      <c r="F55" s="1150">
        <v>3.6811536698659802E-2</v>
      </c>
      <c r="G55" s="1089" t="s">
        <v>385</v>
      </c>
      <c r="H55" s="1150">
        <v>3.5237982725578203E-2</v>
      </c>
      <c r="I55" s="1089" t="s">
        <v>385</v>
      </c>
      <c r="J55" s="1150">
        <v>3.6999999999999998E-2</v>
      </c>
      <c r="K55" s="1089" t="s">
        <v>386</v>
      </c>
      <c r="L55" s="1150">
        <v>3.5999999999999997E-2</v>
      </c>
      <c r="M55" s="1089" t="s">
        <v>387</v>
      </c>
      <c r="N55" s="1150">
        <v>3.3576421460344397E-2</v>
      </c>
      <c r="O55" s="1089" t="s">
        <v>383</v>
      </c>
      <c r="P55" s="1150">
        <v>3.5830487818898797E-2</v>
      </c>
      <c r="Q55" s="1089" t="s">
        <v>383</v>
      </c>
      <c r="R55" s="1150">
        <v>3.416223043302441E-2</v>
      </c>
      <c r="S55" s="1089" t="s">
        <v>383</v>
      </c>
      <c r="T55" s="1150">
        <v>3.3000000000000002E-2</v>
      </c>
      <c r="U55" s="1151" t="s">
        <v>383</v>
      </c>
      <c r="V55" s="1150">
        <v>3.1467992753276698E-2</v>
      </c>
      <c r="W55" s="1151" t="s">
        <v>383</v>
      </c>
      <c r="X55" s="1159">
        <v>3.1E-2</v>
      </c>
      <c r="Y55" s="1113">
        <f t="shared" si="0"/>
        <v>10</v>
      </c>
      <c r="Z55" s="834"/>
      <c r="AA55" s="834"/>
      <c r="AB55" s="834"/>
      <c r="AC55" s="834"/>
      <c r="AD55" s="834"/>
      <c r="AE55" s="834"/>
      <c r="AF55" s="834"/>
      <c r="AG55" s="834"/>
      <c r="AH55" s="834"/>
      <c r="AI55" s="834"/>
      <c r="AJ55" s="834"/>
      <c r="AK55" s="834"/>
      <c r="AL55" s="834"/>
      <c r="AM55" s="834"/>
      <c r="AN55" s="834"/>
      <c r="AO55" s="834"/>
      <c r="AP55" s="834"/>
      <c r="AQ55" s="834"/>
      <c r="AR55" s="834"/>
      <c r="AS55" s="834"/>
      <c r="AT55" s="834"/>
      <c r="AU55" s="834"/>
      <c r="AV55" s="834"/>
      <c r="AW55" s="834"/>
      <c r="AX55" s="834"/>
      <c r="AY55" s="834"/>
      <c r="AZ55" s="834"/>
      <c r="BA55" s="834"/>
      <c r="BB55" s="834"/>
      <c r="BC55" s="834"/>
      <c r="BD55" s="834"/>
      <c r="BE55" s="834"/>
      <c r="BF55" s="834"/>
      <c r="BG55" s="834"/>
      <c r="BH55" s="834"/>
      <c r="BI55" s="834"/>
      <c r="BJ55" s="834"/>
      <c r="BK55" s="834"/>
      <c r="BL55" s="834"/>
      <c r="BM55" s="834"/>
      <c r="BN55" s="834"/>
      <c r="BO55" s="834"/>
      <c r="BP55" s="834"/>
      <c r="BQ55" s="834"/>
      <c r="BR55" s="834"/>
      <c r="BS55" s="834"/>
      <c r="BT55" s="834"/>
      <c r="BU55" s="834"/>
      <c r="BV55" s="834"/>
      <c r="BW55" s="834"/>
      <c r="BX55" s="834"/>
      <c r="BY55" s="834"/>
      <c r="BZ55" s="834"/>
      <c r="CA55" s="834"/>
      <c r="CB55" s="834"/>
      <c r="CC55" s="834"/>
      <c r="CD55" s="834"/>
      <c r="CE55" s="834"/>
      <c r="CF55" s="834"/>
      <c r="CG55" s="834"/>
      <c r="CH55" s="834"/>
      <c r="CI55" s="834"/>
      <c r="CJ55" s="834"/>
      <c r="CK55" s="834"/>
      <c r="CL55" s="834"/>
      <c r="CM55" s="834"/>
      <c r="CN55" s="834"/>
      <c r="CO55" s="834"/>
      <c r="CP55" s="834"/>
      <c r="CQ55" s="834"/>
      <c r="CR55" s="834"/>
      <c r="CS55" s="834"/>
      <c r="CT55" s="834"/>
      <c r="CU55" s="834"/>
      <c r="CV55" s="834"/>
      <c r="CW55" s="834"/>
      <c r="CX55" s="834"/>
      <c r="CY55" s="834"/>
      <c r="CZ55" s="834"/>
      <c r="DA55" s="834"/>
      <c r="DB55" s="834"/>
      <c r="DC55" s="834"/>
      <c r="DD55" s="839"/>
      <c r="DE55" s="1098"/>
      <c r="DF55" s="1098"/>
      <c r="DG55" s="1098"/>
      <c r="DH55" s="1098"/>
      <c r="DI55" s="1098"/>
      <c r="DJ55" s="1098"/>
      <c r="DK55" s="1098"/>
      <c r="DL55" s="1098"/>
      <c r="DM55" s="1098"/>
      <c r="DN55" s="1098"/>
      <c r="DO55" s="1098"/>
    </row>
    <row r="56" spans="1:119" s="1086" customFormat="1">
      <c r="A56" s="1143" t="s">
        <v>38</v>
      </c>
      <c r="B56" s="1144">
        <v>1</v>
      </c>
      <c r="C56" s="1087" t="s">
        <v>379</v>
      </c>
      <c r="D56" s="1145">
        <v>0.10148520876728701</v>
      </c>
      <c r="E56" s="1143" t="s">
        <v>379</v>
      </c>
      <c r="F56" s="1146">
        <v>0.10302420789165601</v>
      </c>
      <c r="G56" s="1143" t="s">
        <v>379</v>
      </c>
      <c r="H56" s="1146">
        <v>0.100802501509019</v>
      </c>
      <c r="I56" s="1143" t="s">
        <v>379</v>
      </c>
      <c r="J56" s="1146">
        <v>9.7902958579881696E-2</v>
      </c>
      <c r="K56" s="1143" t="s">
        <v>379</v>
      </c>
      <c r="L56" s="1146">
        <v>9.4195297344092599E-2</v>
      </c>
      <c r="M56" s="1143" t="s">
        <v>379</v>
      </c>
      <c r="N56" s="1146">
        <v>9.3439758808169196E-2</v>
      </c>
      <c r="O56" s="1143" t="s">
        <v>379</v>
      </c>
      <c r="P56" s="1146">
        <v>9.2126574779578127E-2</v>
      </c>
      <c r="Q56" s="1143" t="s">
        <v>379</v>
      </c>
      <c r="R56" s="1146">
        <v>9.0999999999999998E-2</v>
      </c>
      <c r="S56" s="1152" t="s">
        <v>379</v>
      </c>
      <c r="T56" s="1146">
        <v>8.8752981213127094E-2</v>
      </c>
      <c r="U56" s="1087" t="s">
        <v>379</v>
      </c>
      <c r="V56" s="1153">
        <v>8.7999999999999995E-2</v>
      </c>
      <c r="W56" s="1087"/>
      <c r="X56" s="1153"/>
      <c r="Y56" s="1113">
        <f t="shared" si="0"/>
        <v>11</v>
      </c>
      <c r="Z56" s="834"/>
      <c r="AA56" s="834"/>
      <c r="AB56" s="834"/>
      <c r="AC56" s="834"/>
      <c r="AD56" s="834"/>
      <c r="AE56" s="834"/>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4"/>
      <c r="BD56" s="834"/>
      <c r="BE56" s="834"/>
      <c r="BF56" s="834"/>
      <c r="BG56" s="834"/>
      <c r="BH56" s="834"/>
      <c r="BI56" s="834"/>
      <c r="BJ56" s="834"/>
      <c r="BK56" s="834"/>
      <c r="BL56" s="834"/>
      <c r="BM56" s="834"/>
      <c r="BN56" s="834"/>
      <c r="BO56" s="834"/>
      <c r="BP56" s="834"/>
      <c r="BQ56" s="834"/>
      <c r="BR56" s="834"/>
      <c r="BS56" s="834"/>
      <c r="BT56" s="834"/>
      <c r="BU56" s="834"/>
      <c r="BV56" s="834"/>
      <c r="BW56" s="834"/>
      <c r="BX56" s="834"/>
      <c r="BY56" s="834"/>
      <c r="BZ56" s="834"/>
      <c r="CA56" s="834"/>
      <c r="CB56" s="834"/>
      <c r="CC56" s="834"/>
      <c r="CD56" s="834"/>
      <c r="CE56" s="834"/>
      <c r="CF56" s="834"/>
      <c r="CG56" s="834"/>
      <c r="CH56" s="834"/>
      <c r="CI56" s="834"/>
      <c r="CJ56" s="834"/>
      <c r="CK56" s="834"/>
      <c r="CL56" s="834"/>
      <c r="CM56" s="834"/>
      <c r="CN56" s="834"/>
      <c r="CO56" s="834"/>
      <c r="CP56" s="834"/>
      <c r="CQ56" s="834"/>
      <c r="CR56" s="834"/>
      <c r="CS56" s="834"/>
      <c r="CT56" s="834"/>
      <c r="CU56" s="834"/>
      <c r="CV56" s="834"/>
      <c r="CW56" s="834"/>
      <c r="CX56" s="834"/>
      <c r="CY56" s="834"/>
      <c r="CZ56" s="834"/>
      <c r="DA56" s="834"/>
      <c r="DB56" s="834"/>
      <c r="DC56" s="834"/>
      <c r="DD56" s="839"/>
      <c r="DE56" s="1098"/>
      <c r="DF56" s="1098"/>
      <c r="DG56" s="1098"/>
      <c r="DH56" s="1098"/>
      <c r="DI56" s="1098"/>
      <c r="DJ56" s="1098"/>
      <c r="DK56" s="1098"/>
      <c r="DL56" s="1098"/>
      <c r="DM56" s="1098"/>
      <c r="DN56" s="1098"/>
      <c r="DO56" s="1098"/>
    </row>
    <row r="57" spans="1:119" s="1086" customFormat="1">
      <c r="A57" s="1089"/>
      <c r="B57" s="1148">
        <v>2</v>
      </c>
      <c r="C57" s="1090" t="s">
        <v>388</v>
      </c>
      <c r="D57" s="1149">
        <v>6.8053232441605299E-2</v>
      </c>
      <c r="E57" s="1089" t="s">
        <v>380</v>
      </c>
      <c r="F57" s="1150">
        <v>6.4089794915243303E-2</v>
      </c>
      <c r="G57" s="1089" t="s">
        <v>380</v>
      </c>
      <c r="H57" s="1150">
        <v>6.5519482018754696E-2</v>
      </c>
      <c r="I57" s="1089" t="s">
        <v>380</v>
      </c>
      <c r="J57" s="1150">
        <v>5.7871400394477301E-2</v>
      </c>
      <c r="K57" s="1089" t="s">
        <v>389</v>
      </c>
      <c r="L57" s="1150">
        <v>6.5187581753037904E-2</v>
      </c>
      <c r="M57" s="1089" t="s">
        <v>389</v>
      </c>
      <c r="N57" s="1150">
        <v>6.51041338160534E-2</v>
      </c>
      <c r="O57" s="1089" t="s">
        <v>389</v>
      </c>
      <c r="P57" s="1150">
        <v>6.035998563082566E-2</v>
      </c>
      <c r="Q57" s="1089" t="s">
        <v>389</v>
      </c>
      <c r="R57" s="1150">
        <v>6.7000000000000004E-2</v>
      </c>
      <c r="S57" s="1089" t="s">
        <v>389</v>
      </c>
      <c r="T57" s="1150">
        <v>6.4596437886162983E-2</v>
      </c>
      <c r="U57" s="1090" t="s">
        <v>380</v>
      </c>
      <c r="V57" s="1154">
        <v>0.06</v>
      </c>
      <c r="W57" s="1090"/>
      <c r="X57" s="1154"/>
      <c r="Y57" s="1113">
        <f t="shared" si="0"/>
        <v>12</v>
      </c>
      <c r="Z57" s="834"/>
      <c r="AA57" s="834"/>
      <c r="AB57" s="834"/>
      <c r="AC57" s="834"/>
      <c r="AD57" s="834"/>
      <c r="AE57" s="834"/>
      <c r="AF57" s="834"/>
      <c r="AG57" s="834"/>
      <c r="AH57" s="834"/>
      <c r="AI57" s="834"/>
      <c r="AJ57" s="834"/>
      <c r="AK57" s="834"/>
      <c r="AL57" s="834"/>
      <c r="AM57" s="834"/>
      <c r="AN57" s="834"/>
      <c r="AO57" s="834"/>
      <c r="AP57" s="834"/>
      <c r="AQ57" s="834"/>
      <c r="AR57" s="834"/>
      <c r="AS57" s="834"/>
      <c r="AT57" s="834"/>
      <c r="AU57" s="834"/>
      <c r="AV57" s="834"/>
      <c r="AW57" s="834"/>
      <c r="AX57" s="834"/>
      <c r="AY57" s="834"/>
      <c r="AZ57" s="834"/>
      <c r="BA57" s="834"/>
      <c r="BB57" s="834"/>
      <c r="BC57" s="834"/>
      <c r="BD57" s="834"/>
      <c r="BE57" s="834"/>
      <c r="BF57" s="834"/>
      <c r="BG57" s="834"/>
      <c r="BH57" s="834"/>
      <c r="BI57" s="834"/>
      <c r="BJ57" s="834"/>
      <c r="BK57" s="834"/>
      <c r="BL57" s="834"/>
      <c r="BM57" s="834"/>
      <c r="BN57" s="834"/>
      <c r="BO57" s="834"/>
      <c r="BP57" s="834"/>
      <c r="BQ57" s="834"/>
      <c r="BR57" s="834"/>
      <c r="BS57" s="834"/>
      <c r="BT57" s="834"/>
      <c r="BU57" s="834"/>
      <c r="BV57" s="834"/>
      <c r="BW57" s="834"/>
      <c r="BX57" s="834"/>
      <c r="BY57" s="834"/>
      <c r="BZ57" s="834"/>
      <c r="CA57" s="834"/>
      <c r="CB57" s="834"/>
      <c r="CC57" s="834"/>
      <c r="CD57" s="834"/>
      <c r="CE57" s="834"/>
      <c r="CF57" s="834"/>
      <c r="CG57" s="834"/>
      <c r="CH57" s="834"/>
      <c r="CI57" s="834"/>
      <c r="CJ57" s="834"/>
      <c r="CK57" s="834"/>
      <c r="CL57" s="834"/>
      <c r="CM57" s="834"/>
      <c r="CN57" s="834"/>
      <c r="CO57" s="834"/>
      <c r="CP57" s="834"/>
      <c r="CQ57" s="834"/>
      <c r="CR57" s="834"/>
      <c r="CS57" s="834"/>
      <c r="CT57" s="834"/>
      <c r="CU57" s="834"/>
      <c r="CV57" s="834"/>
      <c r="CW57" s="834"/>
      <c r="CX57" s="834"/>
      <c r="CY57" s="834"/>
      <c r="CZ57" s="834"/>
      <c r="DA57" s="834"/>
      <c r="DB57" s="834"/>
      <c r="DC57" s="834"/>
      <c r="DD57" s="839"/>
      <c r="DE57" s="1098"/>
      <c r="DF57" s="1098"/>
      <c r="DG57" s="1098"/>
      <c r="DH57" s="1098"/>
      <c r="DI57" s="1098"/>
      <c r="DJ57" s="1098"/>
      <c r="DK57" s="1098"/>
      <c r="DL57" s="1098"/>
      <c r="DM57" s="1098"/>
      <c r="DN57" s="1098"/>
      <c r="DO57" s="1098"/>
    </row>
    <row r="58" spans="1:119" s="1086" customFormat="1">
      <c r="A58" s="1089"/>
      <c r="B58" s="1148">
        <v>3</v>
      </c>
      <c r="C58" s="1090" t="s">
        <v>380</v>
      </c>
      <c r="D58" s="1149">
        <v>6.6220628788221297E-2</v>
      </c>
      <c r="E58" s="1089" t="s">
        <v>388</v>
      </c>
      <c r="F58" s="1150">
        <v>6.1800296211979099E-2</v>
      </c>
      <c r="G58" s="1089" t="s">
        <v>388</v>
      </c>
      <c r="H58" s="1150">
        <v>5.66038980529526E-2</v>
      </c>
      <c r="I58" s="1089" t="s">
        <v>390</v>
      </c>
      <c r="J58" s="1150">
        <v>5.7243392504930997E-2</v>
      </c>
      <c r="K58" s="1089" t="s">
        <v>380</v>
      </c>
      <c r="L58" s="1150">
        <v>5.5156049566827403E-2</v>
      </c>
      <c r="M58" s="1089" t="s">
        <v>380</v>
      </c>
      <c r="N58" s="1150">
        <v>5.5611620602222703E-2</v>
      </c>
      <c r="O58" s="1089" t="s">
        <v>380</v>
      </c>
      <c r="P58" s="1150">
        <v>5.6868528357061375E-2</v>
      </c>
      <c r="Q58" s="1089" t="s">
        <v>380</v>
      </c>
      <c r="R58" s="1150">
        <v>5.7000000000000002E-2</v>
      </c>
      <c r="S58" s="1089" t="s">
        <v>380</v>
      </c>
      <c r="T58" s="1150">
        <v>5.8090070991227212E-2</v>
      </c>
      <c r="U58" s="1090" t="s">
        <v>389</v>
      </c>
      <c r="V58" s="1154">
        <v>5.8000000000000003E-2</v>
      </c>
      <c r="W58" s="1090"/>
      <c r="X58" s="1154"/>
      <c r="Y58" s="1113">
        <f t="shared" si="0"/>
        <v>13</v>
      </c>
      <c r="Z58" s="834"/>
      <c r="AA58" s="834"/>
      <c r="AB58" s="834"/>
      <c r="AC58" s="834"/>
      <c r="AD58" s="834"/>
      <c r="AE58" s="834"/>
      <c r="AF58" s="834"/>
      <c r="AG58" s="834"/>
      <c r="AH58" s="834"/>
      <c r="AI58" s="834"/>
      <c r="AJ58" s="834"/>
      <c r="AK58" s="834"/>
      <c r="AL58" s="834"/>
      <c r="AM58" s="834"/>
      <c r="AN58" s="834"/>
      <c r="AO58" s="834"/>
      <c r="AP58" s="834"/>
      <c r="AQ58" s="834"/>
      <c r="AR58" s="834"/>
      <c r="AS58" s="834"/>
      <c r="AT58" s="834"/>
      <c r="AU58" s="834"/>
      <c r="AV58" s="834"/>
      <c r="AW58" s="834"/>
      <c r="AX58" s="834"/>
      <c r="AY58" s="834"/>
      <c r="AZ58" s="834"/>
      <c r="BA58" s="834"/>
      <c r="BB58" s="834"/>
      <c r="BC58" s="834"/>
      <c r="BD58" s="834"/>
      <c r="BE58" s="834"/>
      <c r="BF58" s="834"/>
      <c r="BG58" s="834"/>
      <c r="BH58" s="834"/>
      <c r="BI58" s="834"/>
      <c r="BJ58" s="834"/>
      <c r="BK58" s="834"/>
      <c r="BL58" s="834"/>
      <c r="BM58" s="834"/>
      <c r="BN58" s="834"/>
      <c r="BO58" s="834"/>
      <c r="BP58" s="834"/>
      <c r="BQ58" s="834"/>
      <c r="BR58" s="834"/>
      <c r="BS58" s="834"/>
      <c r="BT58" s="834"/>
      <c r="BU58" s="834"/>
      <c r="BV58" s="834"/>
      <c r="BW58" s="834"/>
      <c r="BX58" s="834"/>
      <c r="BY58" s="834"/>
      <c r="BZ58" s="834"/>
      <c r="CA58" s="834"/>
      <c r="CB58" s="834"/>
      <c r="CC58" s="834"/>
      <c r="CD58" s="834"/>
      <c r="CE58" s="834"/>
      <c r="CF58" s="834"/>
      <c r="CG58" s="834"/>
      <c r="CH58" s="834"/>
      <c r="CI58" s="834"/>
      <c r="CJ58" s="834"/>
      <c r="CK58" s="834"/>
      <c r="CL58" s="834"/>
      <c r="CM58" s="834"/>
      <c r="CN58" s="834"/>
      <c r="CO58" s="834"/>
      <c r="CP58" s="834"/>
      <c r="CQ58" s="834"/>
      <c r="CR58" s="834"/>
      <c r="CS58" s="834"/>
      <c r="CT58" s="834"/>
      <c r="CU58" s="834"/>
      <c r="CV58" s="834"/>
      <c r="CW58" s="834"/>
      <c r="CX58" s="834"/>
      <c r="CY58" s="834"/>
      <c r="CZ58" s="834"/>
      <c r="DA58" s="834"/>
      <c r="DB58" s="834"/>
      <c r="DC58" s="834"/>
      <c r="DD58" s="839"/>
      <c r="DE58" s="1098"/>
      <c r="DF58" s="1098"/>
      <c r="DG58" s="1098"/>
      <c r="DH58" s="1098"/>
      <c r="DI58" s="1098"/>
      <c r="DJ58" s="1098"/>
      <c r="DK58" s="1098"/>
      <c r="DL58" s="1098"/>
      <c r="DM58" s="1098"/>
      <c r="DN58" s="1098"/>
      <c r="DO58" s="1098"/>
    </row>
    <row r="59" spans="1:119" s="1086" customFormat="1">
      <c r="A59" s="1089"/>
      <c r="B59" s="1148">
        <v>4</v>
      </c>
      <c r="C59" s="1090" t="s">
        <v>391</v>
      </c>
      <c r="D59" s="1149">
        <v>5.9098859751920398E-2</v>
      </c>
      <c r="E59" s="1089" t="s">
        <v>391</v>
      </c>
      <c r="F59" s="1150">
        <v>5.50805528427942E-2</v>
      </c>
      <c r="G59" s="1089" t="s">
        <v>389</v>
      </c>
      <c r="H59" s="1150">
        <v>5.1514461849018901E-2</v>
      </c>
      <c r="I59" s="1089" t="s">
        <v>388</v>
      </c>
      <c r="J59" s="1150">
        <v>5.5425641025641001E-2</v>
      </c>
      <c r="K59" s="1089" t="s">
        <v>388</v>
      </c>
      <c r="L59" s="1150">
        <v>5.45051848013599E-2</v>
      </c>
      <c r="M59" s="1089" t="s">
        <v>388</v>
      </c>
      <c r="N59" s="1150">
        <v>5.0335549304302903E-2</v>
      </c>
      <c r="O59" s="1089" t="s">
        <v>382</v>
      </c>
      <c r="P59" s="1150">
        <v>5.0610374795964023E-2</v>
      </c>
      <c r="Q59" s="1089" t="s">
        <v>382</v>
      </c>
      <c r="R59" s="1150">
        <v>4.9000000000000002E-2</v>
      </c>
      <c r="S59" s="1089" t="s">
        <v>376</v>
      </c>
      <c r="T59" s="1150">
        <v>5.6625615420019808E-2</v>
      </c>
      <c r="U59" s="1090" t="s">
        <v>376</v>
      </c>
      <c r="V59" s="1154">
        <v>5.7000000000000002E-2</v>
      </c>
      <c r="W59" s="1090"/>
      <c r="X59" s="1154"/>
      <c r="Y59" s="1113">
        <f t="shared" si="0"/>
        <v>14</v>
      </c>
      <c r="Z59" s="834"/>
      <c r="AA59" s="834"/>
      <c r="AB59" s="834"/>
      <c r="AC59" s="834"/>
      <c r="AD59" s="834"/>
      <c r="AE59" s="834"/>
      <c r="AF59" s="834"/>
      <c r="AG59" s="834"/>
      <c r="AH59" s="834"/>
      <c r="AI59" s="834"/>
      <c r="AJ59" s="834"/>
      <c r="AK59" s="834"/>
      <c r="AL59" s="834"/>
      <c r="AM59" s="834"/>
      <c r="AN59" s="834"/>
      <c r="AO59" s="834"/>
      <c r="AP59" s="834"/>
      <c r="AQ59" s="834"/>
      <c r="AR59" s="834"/>
      <c r="AS59" s="834"/>
      <c r="AT59" s="834"/>
      <c r="AU59" s="834"/>
      <c r="AV59" s="834"/>
      <c r="AW59" s="834"/>
      <c r="AX59" s="834"/>
      <c r="AY59" s="834"/>
      <c r="AZ59" s="834"/>
      <c r="BA59" s="834"/>
      <c r="BB59" s="834"/>
      <c r="BC59" s="834"/>
      <c r="BD59" s="834"/>
      <c r="BE59" s="834"/>
      <c r="BF59" s="834"/>
      <c r="BG59" s="834"/>
      <c r="BH59" s="834"/>
      <c r="BI59" s="834"/>
      <c r="BJ59" s="834"/>
      <c r="BK59" s="834"/>
      <c r="BL59" s="834"/>
      <c r="BM59" s="834"/>
      <c r="BN59" s="834"/>
      <c r="BO59" s="834"/>
      <c r="BP59" s="834"/>
      <c r="BQ59" s="834"/>
      <c r="BR59" s="834"/>
      <c r="BS59" s="834"/>
      <c r="BT59" s="834"/>
      <c r="BU59" s="834"/>
      <c r="BV59" s="834"/>
      <c r="BW59" s="834"/>
      <c r="BX59" s="834"/>
      <c r="BY59" s="834"/>
      <c r="BZ59" s="834"/>
      <c r="CA59" s="834"/>
      <c r="CB59" s="834"/>
      <c r="CC59" s="834"/>
      <c r="CD59" s="834"/>
      <c r="CE59" s="834"/>
      <c r="CF59" s="834"/>
      <c r="CG59" s="834"/>
      <c r="CH59" s="834"/>
      <c r="CI59" s="834"/>
      <c r="CJ59" s="834"/>
      <c r="CK59" s="834"/>
      <c r="CL59" s="834"/>
      <c r="CM59" s="834"/>
      <c r="CN59" s="834"/>
      <c r="CO59" s="834"/>
      <c r="CP59" s="834"/>
      <c r="CQ59" s="834"/>
      <c r="CR59" s="834"/>
      <c r="CS59" s="834"/>
      <c r="CT59" s="834"/>
      <c r="CU59" s="834"/>
      <c r="CV59" s="834"/>
      <c r="CW59" s="834"/>
      <c r="CX59" s="834"/>
      <c r="CY59" s="834"/>
      <c r="CZ59" s="834"/>
      <c r="DA59" s="834"/>
      <c r="DB59" s="834"/>
      <c r="DC59" s="834"/>
      <c r="DD59" s="839"/>
      <c r="DE59" s="1098"/>
      <c r="DF59" s="1098"/>
      <c r="DG59" s="1098"/>
      <c r="DH59" s="1098"/>
      <c r="DI59" s="1098"/>
      <c r="DJ59" s="1098"/>
      <c r="DK59" s="1098"/>
      <c r="DL59" s="1098"/>
      <c r="DM59" s="1098"/>
      <c r="DN59" s="1098"/>
      <c r="DO59" s="1098"/>
    </row>
    <row r="60" spans="1:119" s="1086" customFormat="1">
      <c r="A60" s="1089"/>
      <c r="B60" s="1148">
        <v>5</v>
      </c>
      <c r="C60" s="1090" t="s">
        <v>392</v>
      </c>
      <c r="D60" s="1149">
        <v>5.8914556158695799E-2</v>
      </c>
      <c r="E60" s="1089" t="s">
        <v>392</v>
      </c>
      <c r="F60" s="1150">
        <v>5.2069926723106501E-2</v>
      </c>
      <c r="G60" s="1089" t="s">
        <v>391</v>
      </c>
      <c r="H60" s="1150">
        <v>4.8545898930327798E-2</v>
      </c>
      <c r="I60" s="1089" t="s">
        <v>382</v>
      </c>
      <c r="J60" s="1150">
        <v>4.70848126232742E-2</v>
      </c>
      <c r="K60" s="1089" t="s">
        <v>376</v>
      </c>
      <c r="L60" s="1150">
        <v>4.8678997289116697E-2</v>
      </c>
      <c r="M60" s="1089" t="s">
        <v>376</v>
      </c>
      <c r="N60" s="1150">
        <v>4.9890883402924101E-2</v>
      </c>
      <c r="O60" s="1089" t="s">
        <v>376</v>
      </c>
      <c r="P60" s="1150">
        <v>4.9964392177623163E-2</v>
      </c>
      <c r="Q60" s="1089" t="s">
        <v>376</v>
      </c>
      <c r="R60" s="1150">
        <v>5.1999999999999998E-2</v>
      </c>
      <c r="S60" s="1089" t="s">
        <v>382</v>
      </c>
      <c r="T60" s="1150">
        <v>4.8693147742646339E-2</v>
      </c>
      <c r="U60" s="1090" t="s">
        <v>382</v>
      </c>
      <c r="V60" s="1154">
        <v>4.9000000000000002E-2</v>
      </c>
      <c r="W60" s="1090"/>
      <c r="X60" s="1154"/>
      <c r="Y60" s="1113">
        <f t="shared" si="0"/>
        <v>15</v>
      </c>
      <c r="Z60" s="834"/>
      <c r="AA60" s="834"/>
      <c r="AB60" s="834"/>
      <c r="AC60" s="834"/>
      <c r="AD60" s="834"/>
      <c r="AE60" s="834"/>
      <c r="AF60" s="834"/>
      <c r="AG60" s="834"/>
      <c r="AH60" s="834"/>
      <c r="AI60" s="834"/>
      <c r="AJ60" s="834"/>
      <c r="AK60" s="834"/>
      <c r="AL60" s="834"/>
      <c r="AM60" s="834"/>
      <c r="AN60" s="834"/>
      <c r="AO60" s="834"/>
      <c r="AP60" s="834"/>
      <c r="AQ60" s="834"/>
      <c r="AR60" s="834"/>
      <c r="AS60" s="834"/>
      <c r="AT60" s="834"/>
      <c r="AU60" s="834"/>
      <c r="AV60" s="834"/>
      <c r="AW60" s="834"/>
      <c r="AX60" s="834"/>
      <c r="AY60" s="834"/>
      <c r="AZ60" s="834"/>
      <c r="BA60" s="834"/>
      <c r="BB60" s="834"/>
      <c r="BC60" s="834"/>
      <c r="BD60" s="834"/>
      <c r="BE60" s="834"/>
      <c r="BF60" s="834"/>
      <c r="BG60" s="834"/>
      <c r="BH60" s="834"/>
      <c r="BI60" s="834"/>
      <c r="BJ60" s="834"/>
      <c r="BK60" s="834"/>
      <c r="BL60" s="834"/>
      <c r="BM60" s="834"/>
      <c r="BN60" s="834"/>
      <c r="BO60" s="834"/>
      <c r="BP60" s="834"/>
      <c r="BQ60" s="834"/>
      <c r="BR60" s="834"/>
      <c r="BS60" s="834"/>
      <c r="BT60" s="834"/>
      <c r="BU60" s="834"/>
      <c r="BV60" s="834"/>
      <c r="BW60" s="834"/>
      <c r="BX60" s="834"/>
      <c r="BY60" s="834"/>
      <c r="BZ60" s="834"/>
      <c r="CA60" s="834"/>
      <c r="CB60" s="834"/>
      <c r="CC60" s="834"/>
      <c r="CD60" s="834"/>
      <c r="CE60" s="834"/>
      <c r="CF60" s="834"/>
      <c r="CG60" s="834"/>
      <c r="CH60" s="834"/>
      <c r="CI60" s="834"/>
      <c r="CJ60" s="834"/>
      <c r="CK60" s="834"/>
      <c r="CL60" s="834"/>
      <c r="CM60" s="834"/>
      <c r="CN60" s="834"/>
      <c r="CO60" s="834"/>
      <c r="CP60" s="834"/>
      <c r="CQ60" s="834"/>
      <c r="CR60" s="834"/>
      <c r="CS60" s="834"/>
      <c r="CT60" s="834"/>
      <c r="CU60" s="834"/>
      <c r="CV60" s="834"/>
      <c r="CW60" s="834"/>
      <c r="CX60" s="834"/>
      <c r="CY60" s="834"/>
      <c r="CZ60" s="834"/>
      <c r="DA60" s="834"/>
      <c r="DB60" s="834"/>
      <c r="DC60" s="834"/>
      <c r="DD60" s="839"/>
      <c r="DE60" s="1098"/>
      <c r="DF60" s="1098"/>
      <c r="DG60" s="1098"/>
      <c r="DH60" s="1098"/>
      <c r="DI60" s="1098"/>
      <c r="DJ60" s="1098"/>
      <c r="DK60" s="1098"/>
      <c r="DL60" s="1098"/>
      <c r="DM60" s="1098"/>
      <c r="DN60" s="1098"/>
      <c r="DO60" s="1098"/>
    </row>
    <row r="61" spans="1:119" s="1086" customFormat="1">
      <c r="A61" s="1089"/>
      <c r="B61" s="1148">
        <v>6</v>
      </c>
      <c r="C61" s="1090" t="s">
        <v>382</v>
      </c>
      <c r="D61" s="1149">
        <v>5.0572210495568003E-2</v>
      </c>
      <c r="E61" s="1089" t="s">
        <v>382</v>
      </c>
      <c r="F61" s="1150">
        <v>4.8024498929626999E-2</v>
      </c>
      <c r="G61" s="1089" t="s">
        <v>382</v>
      </c>
      <c r="H61" s="1150">
        <v>4.6415130435356201E-2</v>
      </c>
      <c r="I61" s="1089" t="s">
        <v>376</v>
      </c>
      <c r="J61" s="1150">
        <v>4.6794477317554199E-2</v>
      </c>
      <c r="K61" s="1089" t="s">
        <v>382</v>
      </c>
      <c r="L61" s="1150">
        <v>4.7927027317362897E-2</v>
      </c>
      <c r="M61" s="1089" t="s">
        <v>382</v>
      </c>
      <c r="N61" s="1150">
        <v>4.9077239413167197E-2</v>
      </c>
      <c r="O61" s="1089" t="s">
        <v>388</v>
      </c>
      <c r="P61" s="1150">
        <v>4.866927580621782E-2</v>
      </c>
      <c r="Q61" s="1089" t="s">
        <v>388</v>
      </c>
      <c r="R61" s="1150">
        <v>4.8000000000000001E-2</v>
      </c>
      <c r="S61" s="1089" t="s">
        <v>388</v>
      </c>
      <c r="T61" s="1150">
        <v>4.4561290952454008E-2</v>
      </c>
      <c r="U61" s="1090" t="s">
        <v>381</v>
      </c>
      <c r="V61" s="1154">
        <v>4.2999999999999997E-2</v>
      </c>
      <c r="W61" s="1090"/>
      <c r="X61" s="1154"/>
      <c r="Y61" s="1113">
        <f t="shared" si="0"/>
        <v>16</v>
      </c>
      <c r="Z61" s="834"/>
      <c r="AA61" s="834"/>
      <c r="AB61" s="834"/>
      <c r="AC61" s="834"/>
      <c r="AD61" s="834"/>
      <c r="AE61" s="834"/>
      <c r="AF61" s="834"/>
      <c r="AG61" s="834"/>
      <c r="AH61" s="834"/>
      <c r="AI61" s="834"/>
      <c r="AJ61" s="834"/>
      <c r="AK61" s="834"/>
      <c r="AL61" s="834"/>
      <c r="AM61" s="834"/>
      <c r="AN61" s="834"/>
      <c r="AO61" s="834"/>
      <c r="AP61" s="834"/>
      <c r="AQ61" s="834"/>
      <c r="AR61" s="834"/>
      <c r="AS61" s="834"/>
      <c r="AT61" s="834"/>
      <c r="AU61" s="834"/>
      <c r="AV61" s="834"/>
      <c r="AW61" s="834"/>
      <c r="AX61" s="834"/>
      <c r="AY61" s="834"/>
      <c r="AZ61" s="834"/>
      <c r="BA61" s="834"/>
      <c r="BB61" s="834"/>
      <c r="BC61" s="834"/>
      <c r="BD61" s="834"/>
      <c r="BE61" s="834"/>
      <c r="BF61" s="834"/>
      <c r="BG61" s="834"/>
      <c r="BH61" s="834"/>
      <c r="BI61" s="834"/>
      <c r="BJ61" s="834"/>
      <c r="BK61" s="834"/>
      <c r="BL61" s="834"/>
      <c r="BM61" s="834"/>
      <c r="BN61" s="834"/>
      <c r="BO61" s="834"/>
      <c r="BP61" s="834"/>
      <c r="BQ61" s="834"/>
      <c r="BR61" s="834"/>
      <c r="BS61" s="834"/>
      <c r="BT61" s="834"/>
      <c r="BU61" s="834"/>
      <c r="BV61" s="834"/>
      <c r="BW61" s="834"/>
      <c r="BX61" s="834"/>
      <c r="BY61" s="834"/>
      <c r="BZ61" s="834"/>
      <c r="CA61" s="834"/>
      <c r="CB61" s="834"/>
      <c r="CC61" s="834"/>
      <c r="CD61" s="834"/>
      <c r="CE61" s="834"/>
      <c r="CF61" s="834"/>
      <c r="CG61" s="834"/>
      <c r="CH61" s="834"/>
      <c r="CI61" s="834"/>
      <c r="CJ61" s="834"/>
      <c r="CK61" s="834"/>
      <c r="CL61" s="834"/>
      <c r="CM61" s="834"/>
      <c r="CN61" s="834"/>
      <c r="CO61" s="834"/>
      <c r="CP61" s="834"/>
      <c r="CQ61" s="834"/>
      <c r="CR61" s="834"/>
      <c r="CS61" s="834"/>
      <c r="CT61" s="834"/>
      <c r="CU61" s="834"/>
      <c r="CV61" s="834"/>
      <c r="CW61" s="834"/>
      <c r="CX61" s="834"/>
      <c r="CY61" s="834"/>
      <c r="CZ61" s="834"/>
      <c r="DA61" s="834"/>
      <c r="DB61" s="834"/>
      <c r="DC61" s="834"/>
      <c r="DD61" s="839"/>
      <c r="DE61" s="1098"/>
      <c r="DF61" s="1098"/>
      <c r="DG61" s="1098"/>
      <c r="DH61" s="1098"/>
      <c r="DI61" s="1098"/>
      <c r="DJ61" s="1098"/>
      <c r="DK61" s="1098"/>
      <c r="DL61" s="1098"/>
      <c r="DM61" s="1098"/>
      <c r="DN61" s="1098"/>
      <c r="DO61" s="1098"/>
    </row>
    <row r="62" spans="1:119" s="1086" customFormat="1">
      <c r="A62" s="1089"/>
      <c r="B62" s="1148">
        <v>7</v>
      </c>
      <c r="C62" s="1090" t="s">
        <v>381</v>
      </c>
      <c r="D62" s="1149">
        <v>4.5898549565495599E-2</v>
      </c>
      <c r="E62" s="1089" t="s">
        <v>381</v>
      </c>
      <c r="F62" s="1150">
        <v>4.7364812862584801E-2</v>
      </c>
      <c r="G62" s="1089" t="s">
        <v>377</v>
      </c>
      <c r="H62" s="1150">
        <v>4.6180943805103999E-2</v>
      </c>
      <c r="I62" s="1089" t="s">
        <v>381</v>
      </c>
      <c r="J62" s="1150">
        <v>4.5882445759368798E-2</v>
      </c>
      <c r="K62" s="1089" t="s">
        <v>381</v>
      </c>
      <c r="L62" s="1150">
        <v>4.6081857302639501E-2</v>
      </c>
      <c r="M62" s="1089" t="s">
        <v>381</v>
      </c>
      <c r="N62" s="1150">
        <v>4.82446734701601E-2</v>
      </c>
      <c r="O62" s="1089" t="s">
        <v>381</v>
      </c>
      <c r="P62" s="1150">
        <v>4.81461874420979E-2</v>
      </c>
      <c r="Q62" s="1089" t="s">
        <v>381</v>
      </c>
      <c r="R62" s="1150">
        <v>4.7E-2</v>
      </c>
      <c r="S62" s="1089" t="s">
        <v>381</v>
      </c>
      <c r="T62" s="1150">
        <v>4.2019414496715438E-2</v>
      </c>
      <c r="U62" s="1090" t="s">
        <v>388</v>
      </c>
      <c r="V62" s="1154">
        <v>4.1000000000000002E-2</v>
      </c>
      <c r="W62" s="1090"/>
      <c r="X62" s="1154"/>
      <c r="Y62" s="1113">
        <f t="shared" si="0"/>
        <v>17</v>
      </c>
      <c r="Z62" s="834"/>
      <c r="AA62" s="834"/>
      <c r="AB62" s="834"/>
      <c r="AC62" s="834"/>
      <c r="AD62" s="834"/>
      <c r="AE62" s="834"/>
      <c r="AF62" s="834"/>
      <c r="AG62" s="834"/>
      <c r="AH62" s="834"/>
      <c r="AI62" s="834"/>
      <c r="AJ62" s="834"/>
      <c r="AK62" s="834"/>
      <c r="AL62" s="834"/>
      <c r="AM62" s="834"/>
      <c r="AN62" s="834"/>
      <c r="AO62" s="834"/>
      <c r="AP62" s="834"/>
      <c r="AQ62" s="834"/>
      <c r="AR62" s="834"/>
      <c r="AS62" s="834"/>
      <c r="AT62" s="834"/>
      <c r="AU62" s="834"/>
      <c r="AV62" s="834"/>
      <c r="AW62" s="834"/>
      <c r="AX62" s="834"/>
      <c r="AY62" s="834"/>
      <c r="AZ62" s="834"/>
      <c r="BA62" s="834"/>
      <c r="BB62" s="834"/>
      <c r="BC62" s="834"/>
      <c r="BD62" s="834"/>
      <c r="BE62" s="834"/>
      <c r="BF62" s="834"/>
      <c r="BG62" s="834"/>
      <c r="BH62" s="834"/>
      <c r="BI62" s="834"/>
      <c r="BJ62" s="834"/>
      <c r="BK62" s="834"/>
      <c r="BL62" s="834"/>
      <c r="BM62" s="834"/>
      <c r="BN62" s="834"/>
      <c r="BO62" s="834"/>
      <c r="BP62" s="834"/>
      <c r="BQ62" s="834"/>
      <c r="BR62" s="834"/>
      <c r="BS62" s="834"/>
      <c r="BT62" s="834"/>
      <c r="BU62" s="834"/>
      <c r="BV62" s="834"/>
      <c r="BW62" s="834"/>
      <c r="BX62" s="834"/>
      <c r="BY62" s="834"/>
      <c r="BZ62" s="834"/>
      <c r="CA62" s="834"/>
      <c r="CB62" s="834"/>
      <c r="CC62" s="834"/>
      <c r="CD62" s="834"/>
      <c r="CE62" s="834"/>
      <c r="CF62" s="834"/>
      <c r="CG62" s="834"/>
      <c r="CH62" s="834"/>
      <c r="CI62" s="834"/>
      <c r="CJ62" s="834"/>
      <c r="CK62" s="834"/>
      <c r="CL62" s="834"/>
      <c r="CM62" s="834"/>
      <c r="CN62" s="834"/>
      <c r="CO62" s="834"/>
      <c r="CP62" s="834"/>
      <c r="CQ62" s="834"/>
      <c r="CR62" s="834"/>
      <c r="CS62" s="834"/>
      <c r="CT62" s="834"/>
      <c r="CU62" s="834"/>
      <c r="CV62" s="834"/>
      <c r="CW62" s="834"/>
      <c r="CX62" s="834"/>
      <c r="CY62" s="834"/>
      <c r="CZ62" s="834"/>
      <c r="DA62" s="834"/>
      <c r="DB62" s="834"/>
      <c r="DC62" s="834"/>
      <c r="DD62" s="839"/>
      <c r="DE62" s="1098"/>
      <c r="DF62" s="1098"/>
      <c r="DG62" s="1098"/>
      <c r="DH62" s="1098"/>
      <c r="DI62" s="1098"/>
      <c r="DJ62" s="1098"/>
      <c r="DK62" s="1098"/>
      <c r="DL62" s="1098"/>
      <c r="DM62" s="1098"/>
      <c r="DN62" s="1098"/>
      <c r="DO62" s="1098"/>
    </row>
    <row r="63" spans="1:119" s="1086" customFormat="1">
      <c r="A63" s="1089"/>
      <c r="B63" s="1148">
        <v>8</v>
      </c>
      <c r="C63" s="1090" t="s">
        <v>389</v>
      </c>
      <c r="D63" s="1149">
        <v>4.1948193303172503E-2</v>
      </c>
      <c r="E63" s="1089" t="s">
        <v>389</v>
      </c>
      <c r="F63" s="1150">
        <v>4.2756711658981102E-2</v>
      </c>
      <c r="G63" s="1089" t="s">
        <v>381</v>
      </c>
      <c r="H63" s="1150">
        <v>4.4973728218169598E-2</v>
      </c>
      <c r="I63" s="1089" t="s">
        <v>391</v>
      </c>
      <c r="J63" s="1150">
        <v>4.0441814595660701E-2</v>
      </c>
      <c r="K63" s="1089" t="s">
        <v>392</v>
      </c>
      <c r="L63" s="1150">
        <v>3.9257255878319901E-2</v>
      </c>
      <c r="M63" s="1089" t="s">
        <v>391</v>
      </c>
      <c r="N63" s="1150">
        <v>3.7547462566069202E-2</v>
      </c>
      <c r="O63" s="1089" t="s">
        <v>391</v>
      </c>
      <c r="P63" s="1150">
        <v>3.704158867608226E-2</v>
      </c>
      <c r="Q63" s="1089" t="s">
        <v>391</v>
      </c>
      <c r="R63" s="1150">
        <v>3.6999999999999998E-2</v>
      </c>
      <c r="S63" s="1089" t="s">
        <v>391</v>
      </c>
      <c r="T63" s="1150">
        <v>3.654165330060391E-2</v>
      </c>
      <c r="U63" s="1090" t="s">
        <v>391</v>
      </c>
      <c r="V63" s="1154">
        <v>3.9E-2</v>
      </c>
      <c r="W63" s="1090"/>
      <c r="X63" s="1154"/>
      <c r="Y63" s="1113">
        <f t="shared" si="0"/>
        <v>18</v>
      </c>
      <c r="Z63" s="834"/>
      <c r="AA63" s="834"/>
      <c r="AB63" s="834"/>
      <c r="AC63" s="834"/>
      <c r="AD63" s="834"/>
      <c r="AE63" s="834"/>
      <c r="AF63" s="834"/>
      <c r="AG63" s="834"/>
      <c r="AH63" s="834"/>
      <c r="AI63" s="834"/>
      <c r="AJ63" s="834"/>
      <c r="AK63" s="834"/>
      <c r="AL63" s="834"/>
      <c r="AM63" s="834"/>
      <c r="AN63" s="834"/>
      <c r="AO63" s="834"/>
      <c r="AP63" s="834"/>
      <c r="AQ63" s="834"/>
      <c r="AR63" s="834"/>
      <c r="AS63" s="834"/>
      <c r="AT63" s="834"/>
      <c r="AU63" s="834"/>
      <c r="AV63" s="834"/>
      <c r="AW63" s="834"/>
      <c r="AX63" s="834"/>
      <c r="AY63" s="834"/>
      <c r="AZ63" s="834"/>
      <c r="BA63" s="834"/>
      <c r="BB63" s="834"/>
      <c r="BC63" s="834"/>
      <c r="BD63" s="834"/>
      <c r="BE63" s="834"/>
      <c r="BF63" s="834"/>
      <c r="BG63" s="834"/>
      <c r="BH63" s="834"/>
      <c r="BI63" s="834"/>
      <c r="BJ63" s="834"/>
      <c r="BK63" s="834"/>
      <c r="BL63" s="834"/>
      <c r="BM63" s="834"/>
      <c r="BN63" s="834"/>
      <c r="BO63" s="834"/>
      <c r="BP63" s="834"/>
      <c r="BQ63" s="834"/>
      <c r="BR63" s="834"/>
      <c r="BS63" s="834"/>
      <c r="BT63" s="834"/>
      <c r="BU63" s="834"/>
      <c r="BV63" s="834"/>
      <c r="BW63" s="834"/>
      <c r="BX63" s="834"/>
      <c r="BY63" s="834"/>
      <c r="BZ63" s="834"/>
      <c r="CA63" s="834"/>
      <c r="CB63" s="834"/>
      <c r="CC63" s="834"/>
      <c r="CD63" s="834"/>
      <c r="CE63" s="834"/>
      <c r="CF63" s="834"/>
      <c r="CG63" s="834"/>
      <c r="CH63" s="834"/>
      <c r="CI63" s="834"/>
      <c r="CJ63" s="834"/>
      <c r="CK63" s="834"/>
      <c r="CL63" s="834"/>
      <c r="CM63" s="834"/>
      <c r="CN63" s="834"/>
      <c r="CO63" s="834"/>
      <c r="CP63" s="834"/>
      <c r="CQ63" s="834"/>
      <c r="CR63" s="834"/>
      <c r="CS63" s="834"/>
      <c r="CT63" s="834"/>
      <c r="CU63" s="834"/>
      <c r="CV63" s="834"/>
      <c r="CW63" s="834"/>
      <c r="CX63" s="834"/>
      <c r="CY63" s="834"/>
      <c r="CZ63" s="834"/>
      <c r="DA63" s="834"/>
      <c r="DB63" s="834"/>
      <c r="DC63" s="834"/>
      <c r="DD63" s="839"/>
      <c r="DE63" s="1098"/>
      <c r="DF63" s="1098"/>
      <c r="DG63" s="1098"/>
      <c r="DH63" s="1098"/>
      <c r="DI63" s="1098"/>
      <c r="DJ63" s="1098"/>
      <c r="DK63" s="1098"/>
      <c r="DL63" s="1098"/>
      <c r="DM63" s="1098"/>
      <c r="DN63" s="1098"/>
      <c r="DO63" s="1098"/>
    </row>
    <row r="64" spans="1:119" s="1086" customFormat="1">
      <c r="A64" s="1089"/>
      <c r="B64" s="1148">
        <v>9</v>
      </c>
      <c r="C64" s="1090" t="s">
        <v>376</v>
      </c>
      <c r="D64" s="1149">
        <v>3.9298394472283199E-2</v>
      </c>
      <c r="E64" s="1089" t="s">
        <v>377</v>
      </c>
      <c r="F64" s="1150">
        <v>4.0221447558191403E-2</v>
      </c>
      <c r="G64" s="1089" t="s">
        <v>392</v>
      </c>
      <c r="H64" s="1150">
        <v>4.4208498665795903E-2</v>
      </c>
      <c r="I64" s="1089" t="s">
        <v>392</v>
      </c>
      <c r="J64" s="1150">
        <v>3.8030769230769201E-2</v>
      </c>
      <c r="K64" s="1089" t="s">
        <v>391</v>
      </c>
      <c r="L64" s="1150">
        <v>3.8012398025920803E-2</v>
      </c>
      <c r="M64" s="1089" t="s">
        <v>392</v>
      </c>
      <c r="N64" s="1150">
        <v>3.7036569828314797E-2</v>
      </c>
      <c r="O64" s="1089" t="s">
        <v>392</v>
      </c>
      <c r="P64" s="1150">
        <v>3.4003894802518385E-2</v>
      </c>
      <c r="Q64" s="1089" t="s">
        <v>393</v>
      </c>
      <c r="R64" s="1150">
        <v>3.4000000000000002E-2</v>
      </c>
      <c r="S64" s="1089" t="s">
        <v>393</v>
      </c>
      <c r="T64" s="1150">
        <v>3.3529058982691533E-2</v>
      </c>
      <c r="U64" s="1090" t="s">
        <v>392</v>
      </c>
      <c r="V64" s="1154">
        <v>3.5999999999999997E-2</v>
      </c>
      <c r="W64" s="1090"/>
      <c r="X64" s="1154"/>
      <c r="Y64" s="1113">
        <f t="shared" si="0"/>
        <v>19</v>
      </c>
      <c r="Z64" s="834"/>
      <c r="AA64" s="834"/>
      <c r="AB64" s="834"/>
      <c r="AC64" s="834"/>
      <c r="AD64" s="834"/>
      <c r="AE64" s="834"/>
      <c r="AF64" s="834"/>
      <c r="AG64" s="834"/>
      <c r="AH64" s="834"/>
      <c r="AI64" s="834"/>
      <c r="AJ64" s="834"/>
      <c r="AK64" s="834"/>
      <c r="AL64" s="834"/>
      <c r="AM64" s="834"/>
      <c r="AN64" s="834"/>
      <c r="AO64" s="834"/>
      <c r="AP64" s="834"/>
      <c r="AQ64" s="834"/>
      <c r="AR64" s="834"/>
      <c r="AS64" s="834"/>
      <c r="AT64" s="834"/>
      <c r="AU64" s="834"/>
      <c r="AV64" s="834"/>
      <c r="AW64" s="834"/>
      <c r="AX64" s="834"/>
      <c r="AY64" s="834"/>
      <c r="AZ64" s="834"/>
      <c r="BA64" s="834"/>
      <c r="BB64" s="834"/>
      <c r="BC64" s="834"/>
      <c r="BD64" s="834"/>
      <c r="BE64" s="834"/>
      <c r="BF64" s="834"/>
      <c r="BG64" s="834"/>
      <c r="BH64" s="834"/>
      <c r="BI64" s="834"/>
      <c r="BJ64" s="834"/>
      <c r="BK64" s="834"/>
      <c r="BL64" s="834"/>
      <c r="BM64" s="834"/>
      <c r="BN64" s="834"/>
      <c r="BO64" s="834"/>
      <c r="BP64" s="834"/>
      <c r="BQ64" s="834"/>
      <c r="BR64" s="834"/>
      <c r="BS64" s="834"/>
      <c r="BT64" s="834"/>
      <c r="BU64" s="834"/>
      <c r="BV64" s="834"/>
      <c r="BW64" s="834"/>
      <c r="BX64" s="834"/>
      <c r="BY64" s="834"/>
      <c r="BZ64" s="834"/>
      <c r="CA64" s="834"/>
      <c r="CB64" s="834"/>
      <c r="CC64" s="834"/>
      <c r="CD64" s="834"/>
      <c r="CE64" s="834"/>
      <c r="CF64" s="834"/>
      <c r="CG64" s="834"/>
      <c r="CH64" s="834"/>
      <c r="CI64" s="834"/>
      <c r="CJ64" s="834"/>
      <c r="CK64" s="834"/>
      <c r="CL64" s="834"/>
      <c r="CM64" s="834"/>
      <c r="CN64" s="834"/>
      <c r="CO64" s="834"/>
      <c r="CP64" s="834"/>
      <c r="CQ64" s="834"/>
      <c r="CR64" s="834"/>
      <c r="CS64" s="834"/>
      <c r="CT64" s="834"/>
      <c r="CU64" s="834"/>
      <c r="CV64" s="834"/>
      <c r="CW64" s="834"/>
      <c r="CX64" s="834"/>
      <c r="CY64" s="834"/>
      <c r="CZ64" s="834"/>
      <c r="DA64" s="834"/>
      <c r="DB64" s="834"/>
      <c r="DC64" s="834"/>
      <c r="DD64" s="839"/>
      <c r="DE64" s="1098"/>
      <c r="DF64" s="1098"/>
      <c r="DG64" s="1098"/>
      <c r="DH64" s="1098"/>
      <c r="DI64" s="1098"/>
      <c r="DJ64" s="1098"/>
      <c r="DK64" s="1098"/>
      <c r="DL64" s="1098"/>
      <c r="DM64" s="1098"/>
      <c r="DN64" s="1098"/>
      <c r="DO64" s="1098"/>
    </row>
    <row r="65" spans="1:119" s="1086" customFormat="1">
      <c r="A65" s="1089"/>
      <c r="B65" s="1148">
        <v>10</v>
      </c>
      <c r="C65" s="1090" t="s">
        <v>384</v>
      </c>
      <c r="D65" s="1149">
        <v>3.2301812782323497E-2</v>
      </c>
      <c r="E65" s="1089" t="s">
        <v>384</v>
      </c>
      <c r="F65" s="1150">
        <v>3.4141987724665097E-2</v>
      </c>
      <c r="G65" s="1089" t="s">
        <v>384</v>
      </c>
      <c r="H65" s="1150">
        <v>3.1654775922975699E-2</v>
      </c>
      <c r="I65" s="1089" t="s">
        <v>393</v>
      </c>
      <c r="J65" s="1150">
        <v>3.0144378698224901E-2</v>
      </c>
      <c r="K65" s="1089" t="s">
        <v>393</v>
      </c>
      <c r="L65" s="1150">
        <v>3.1197275214690599E-2</v>
      </c>
      <c r="M65" s="1089" t="s">
        <v>393</v>
      </c>
      <c r="N65" s="1150">
        <v>3.2908430360904697E-2</v>
      </c>
      <c r="O65" s="1089" t="s">
        <v>393</v>
      </c>
      <c r="P65" s="1150">
        <v>3.2576430772721258E-2</v>
      </c>
      <c r="Q65" s="1089" t="s">
        <v>392</v>
      </c>
      <c r="R65" s="1150">
        <v>3.4000000000000002E-2</v>
      </c>
      <c r="S65" s="1089" t="s">
        <v>392</v>
      </c>
      <c r="T65" s="1150">
        <v>3.337215302863359E-2</v>
      </c>
      <c r="U65" s="1090" t="s">
        <v>394</v>
      </c>
      <c r="V65" s="1154">
        <v>3.5000000000000003E-2</v>
      </c>
      <c r="W65" s="1114"/>
      <c r="X65" s="1158"/>
      <c r="Y65" s="1113">
        <f t="shared" si="0"/>
        <v>20</v>
      </c>
      <c r="Z65" s="834"/>
      <c r="AA65" s="834"/>
      <c r="AB65" s="834"/>
      <c r="AC65" s="834"/>
      <c r="AD65" s="834"/>
      <c r="AE65" s="834"/>
      <c r="AF65" s="834"/>
      <c r="AG65" s="834"/>
      <c r="AH65" s="834"/>
      <c r="AI65" s="834"/>
      <c r="AJ65" s="834"/>
      <c r="AK65" s="834"/>
      <c r="AL65" s="834"/>
      <c r="AM65" s="834"/>
      <c r="AN65" s="834"/>
      <c r="AO65" s="834"/>
      <c r="AP65" s="834"/>
      <c r="AQ65" s="834"/>
      <c r="AR65" s="834"/>
      <c r="AS65" s="834"/>
      <c r="AT65" s="834"/>
      <c r="AU65" s="834"/>
      <c r="AV65" s="834"/>
      <c r="AW65" s="834"/>
      <c r="AX65" s="834"/>
      <c r="AY65" s="834"/>
      <c r="AZ65" s="834"/>
      <c r="BA65" s="834"/>
      <c r="BB65" s="834"/>
      <c r="BC65" s="834"/>
      <c r="BD65" s="834"/>
      <c r="BE65" s="834"/>
      <c r="BF65" s="834"/>
      <c r="BG65" s="834"/>
      <c r="BH65" s="834"/>
      <c r="BI65" s="834"/>
      <c r="BJ65" s="834"/>
      <c r="BK65" s="834"/>
      <c r="BL65" s="834"/>
      <c r="BM65" s="834"/>
      <c r="BN65" s="834"/>
      <c r="BO65" s="834"/>
      <c r="BP65" s="834"/>
      <c r="BQ65" s="834"/>
      <c r="BR65" s="834"/>
      <c r="BS65" s="834"/>
      <c r="BT65" s="834"/>
      <c r="BU65" s="834"/>
      <c r="BV65" s="834"/>
      <c r="BW65" s="834"/>
      <c r="BX65" s="834"/>
      <c r="BY65" s="834"/>
      <c r="BZ65" s="834"/>
      <c r="CA65" s="834"/>
      <c r="CB65" s="834"/>
      <c r="CC65" s="834"/>
      <c r="CD65" s="834"/>
      <c r="CE65" s="834"/>
      <c r="CF65" s="834"/>
      <c r="CG65" s="834"/>
      <c r="CH65" s="834"/>
      <c r="CI65" s="834"/>
      <c r="CJ65" s="834"/>
      <c r="CK65" s="834"/>
      <c r="CL65" s="834"/>
      <c r="CM65" s="834"/>
      <c r="CN65" s="834"/>
      <c r="CO65" s="834"/>
      <c r="CP65" s="834"/>
      <c r="CQ65" s="834"/>
      <c r="CR65" s="834"/>
      <c r="CS65" s="834"/>
      <c r="CT65" s="834"/>
      <c r="CU65" s="834"/>
      <c r="CV65" s="834"/>
      <c r="CW65" s="834"/>
      <c r="CX65" s="834"/>
      <c r="CY65" s="834"/>
      <c r="CZ65" s="834"/>
      <c r="DA65" s="834"/>
      <c r="DB65" s="834"/>
      <c r="DC65" s="834"/>
      <c r="DD65" s="839"/>
      <c r="DE65" s="1098"/>
      <c r="DF65" s="1098"/>
      <c r="DG65" s="1098"/>
      <c r="DH65" s="1098"/>
      <c r="DI65" s="1098"/>
      <c r="DJ65" s="1098"/>
      <c r="DK65" s="1098"/>
      <c r="DL65" s="1098"/>
      <c r="DM65" s="1098"/>
      <c r="DN65" s="1098"/>
      <c r="DO65" s="1098"/>
    </row>
    <row r="66" spans="1:119" s="1086" customFormat="1">
      <c r="A66" s="1143" t="s">
        <v>42</v>
      </c>
      <c r="B66" s="1144">
        <v>1</v>
      </c>
      <c r="C66" s="1087" t="s">
        <v>379</v>
      </c>
      <c r="D66" s="1145">
        <v>8.1410439717560096E-2</v>
      </c>
      <c r="E66" s="1143" t="s">
        <v>379</v>
      </c>
      <c r="F66" s="1146">
        <v>8.300768843787E-2</v>
      </c>
      <c r="G66" s="1143" t="s">
        <v>379</v>
      </c>
      <c r="H66" s="1146">
        <v>7.9894457535494304E-2</v>
      </c>
      <c r="I66" s="1143" t="s">
        <v>379</v>
      </c>
      <c r="J66" s="1146">
        <v>8.4257902955238703E-2</v>
      </c>
      <c r="K66" s="1143" t="s">
        <v>379</v>
      </c>
      <c r="L66" s="1146">
        <v>7.8513528998540194E-2</v>
      </c>
      <c r="M66" s="1143" t="s">
        <v>379</v>
      </c>
      <c r="N66" s="1146">
        <v>7.7432537524334294E-2</v>
      </c>
      <c r="O66" s="1143" t="s">
        <v>379</v>
      </c>
      <c r="P66" s="1146">
        <v>7.6978620072305007E-2</v>
      </c>
      <c r="Q66" s="1143" t="s">
        <v>379</v>
      </c>
      <c r="R66" s="1146">
        <v>7.3663501191782374E-2</v>
      </c>
      <c r="S66" s="1143" t="s">
        <v>379</v>
      </c>
      <c r="T66" s="1146">
        <v>7.4999999999999997E-2</v>
      </c>
      <c r="U66" s="1147" t="s">
        <v>379</v>
      </c>
      <c r="V66" s="1153">
        <v>7.6733726372090194E-2</v>
      </c>
      <c r="W66" s="1086" t="s">
        <v>379</v>
      </c>
      <c r="X66" s="1159">
        <v>8.2000000000000003E-2</v>
      </c>
      <c r="Y66" s="1113">
        <f t="shared" si="0"/>
        <v>21</v>
      </c>
      <c r="Z66" s="834"/>
      <c r="AA66" s="834"/>
      <c r="AB66" s="834"/>
      <c r="AC66" s="834"/>
      <c r="AD66" s="834"/>
      <c r="AE66" s="834"/>
      <c r="AF66" s="834"/>
      <c r="AG66" s="834"/>
      <c r="AH66" s="834"/>
      <c r="AI66" s="834"/>
      <c r="AJ66" s="834"/>
      <c r="AK66" s="834"/>
      <c r="AL66" s="834"/>
      <c r="AM66" s="834"/>
      <c r="AN66" s="834"/>
      <c r="AO66" s="834"/>
      <c r="AP66" s="834"/>
      <c r="AQ66" s="834"/>
      <c r="AR66" s="834"/>
      <c r="AS66" s="834"/>
      <c r="AT66" s="834"/>
      <c r="AU66" s="834"/>
      <c r="AV66" s="834"/>
      <c r="AW66" s="834"/>
      <c r="AX66" s="834"/>
      <c r="AY66" s="834"/>
      <c r="AZ66" s="834"/>
      <c r="BA66" s="834"/>
      <c r="BB66" s="834"/>
      <c r="BC66" s="834"/>
      <c r="BD66" s="834"/>
      <c r="BE66" s="834"/>
      <c r="BF66" s="834"/>
      <c r="BG66" s="834"/>
      <c r="BH66" s="834"/>
      <c r="BI66" s="834"/>
      <c r="BJ66" s="834"/>
      <c r="BK66" s="834"/>
      <c r="BL66" s="834"/>
      <c r="BM66" s="834"/>
      <c r="BN66" s="834"/>
      <c r="BO66" s="834"/>
      <c r="BP66" s="834"/>
      <c r="BQ66" s="834"/>
      <c r="BR66" s="834"/>
      <c r="BS66" s="834"/>
      <c r="BT66" s="834"/>
      <c r="BU66" s="834"/>
      <c r="BV66" s="834"/>
      <c r="BW66" s="834"/>
      <c r="BX66" s="834"/>
      <c r="BY66" s="834"/>
      <c r="BZ66" s="834"/>
      <c r="CA66" s="834"/>
      <c r="CB66" s="834"/>
      <c r="CC66" s="834"/>
      <c r="CD66" s="834"/>
      <c r="CE66" s="834"/>
      <c r="CF66" s="834"/>
      <c r="CG66" s="834"/>
      <c r="CH66" s="834"/>
      <c r="CI66" s="834"/>
      <c r="CJ66" s="834"/>
      <c r="CK66" s="834"/>
      <c r="CL66" s="834"/>
      <c r="CM66" s="834"/>
      <c r="CN66" s="834"/>
      <c r="CO66" s="834"/>
      <c r="CP66" s="834"/>
      <c r="CQ66" s="834"/>
      <c r="CR66" s="834"/>
      <c r="CS66" s="834"/>
      <c r="CT66" s="834"/>
      <c r="CU66" s="834"/>
      <c r="CV66" s="834"/>
      <c r="CW66" s="834"/>
      <c r="CX66" s="834"/>
      <c r="CY66" s="834"/>
      <c r="CZ66" s="834"/>
      <c r="DA66" s="834"/>
      <c r="DB66" s="834"/>
      <c r="DC66" s="834"/>
      <c r="DD66" s="839"/>
      <c r="DE66" s="1098"/>
      <c r="DF66" s="1098"/>
      <c r="DG66" s="1098"/>
      <c r="DH66" s="1098"/>
      <c r="DI66" s="1098"/>
      <c r="DJ66" s="1098"/>
      <c r="DK66" s="1098"/>
      <c r="DL66" s="1098"/>
      <c r="DM66" s="1098"/>
      <c r="DN66" s="1098"/>
      <c r="DO66" s="1098"/>
    </row>
    <row r="67" spans="1:119" s="1086" customFormat="1">
      <c r="A67" s="1089"/>
      <c r="B67" s="1148">
        <v>2</v>
      </c>
      <c r="C67" s="1090" t="s">
        <v>391</v>
      </c>
      <c r="D67" s="1149">
        <v>6.5699170717758104E-2</v>
      </c>
      <c r="E67" s="1089" t="s">
        <v>380</v>
      </c>
      <c r="F67" s="1150">
        <v>7.4287688844396793E-2</v>
      </c>
      <c r="G67" s="1089" t="s">
        <v>380</v>
      </c>
      <c r="H67" s="1150">
        <v>6.8805568206570203E-2</v>
      </c>
      <c r="I67" s="1089" t="s">
        <v>380</v>
      </c>
      <c r="J67" s="1150">
        <v>5.7644800897255502E-2</v>
      </c>
      <c r="K67" s="1089" t="s">
        <v>380</v>
      </c>
      <c r="L67" s="1150">
        <v>5.9133008165725899E-2</v>
      </c>
      <c r="M67" s="1089" t="s">
        <v>380</v>
      </c>
      <c r="N67" s="1150">
        <v>5.9815288275329198E-2</v>
      </c>
      <c r="O67" s="1089" t="s">
        <v>380</v>
      </c>
      <c r="P67" s="1150">
        <v>5.6043798436194003E-2</v>
      </c>
      <c r="Q67" s="1089" t="s">
        <v>380</v>
      </c>
      <c r="R67" s="1150">
        <v>5.8912829631871666E-2</v>
      </c>
      <c r="S67" s="1089" t="s">
        <v>380</v>
      </c>
      <c r="T67" s="1150">
        <v>6.2E-2</v>
      </c>
      <c r="U67" s="1090" t="s">
        <v>380</v>
      </c>
      <c r="V67" s="1154">
        <v>6.9158034574675911E-2</v>
      </c>
      <c r="W67" s="1086" t="s">
        <v>380</v>
      </c>
      <c r="X67" s="1159">
        <v>7.2999999999999995E-2</v>
      </c>
      <c r="Y67" s="1113">
        <f t="shared" si="0"/>
        <v>22</v>
      </c>
      <c r="Z67" s="834"/>
      <c r="AA67" s="834"/>
      <c r="AB67" s="834"/>
      <c r="AC67" s="834"/>
      <c r="AD67" s="834"/>
      <c r="AE67" s="834"/>
      <c r="AF67" s="834"/>
      <c r="AG67" s="834"/>
      <c r="AH67" s="834"/>
      <c r="AI67" s="834"/>
      <c r="AJ67" s="834"/>
      <c r="AK67" s="834"/>
      <c r="AL67" s="834"/>
      <c r="AM67" s="834"/>
      <c r="AN67" s="834"/>
      <c r="AO67" s="834"/>
      <c r="AP67" s="834"/>
      <c r="AQ67" s="834"/>
      <c r="AR67" s="834"/>
      <c r="AS67" s="834"/>
      <c r="AT67" s="834"/>
      <c r="AU67" s="834"/>
      <c r="AV67" s="834"/>
      <c r="AW67" s="834"/>
      <c r="AX67" s="834"/>
      <c r="AY67" s="834"/>
      <c r="AZ67" s="834"/>
      <c r="BA67" s="834"/>
      <c r="BB67" s="834"/>
      <c r="BC67" s="834"/>
      <c r="BD67" s="834"/>
      <c r="BE67" s="834"/>
      <c r="BF67" s="834"/>
      <c r="BG67" s="834"/>
      <c r="BH67" s="834"/>
      <c r="BI67" s="834"/>
      <c r="BJ67" s="834"/>
      <c r="BK67" s="834"/>
      <c r="BL67" s="834"/>
      <c r="BM67" s="834"/>
      <c r="BN67" s="834"/>
      <c r="BO67" s="834"/>
      <c r="BP67" s="834"/>
      <c r="BQ67" s="834"/>
      <c r="BR67" s="834"/>
      <c r="BS67" s="834"/>
      <c r="BT67" s="834"/>
      <c r="BU67" s="834"/>
      <c r="BV67" s="834"/>
      <c r="BW67" s="834"/>
      <c r="BX67" s="834"/>
      <c r="BY67" s="834"/>
      <c r="BZ67" s="834"/>
      <c r="CA67" s="834"/>
      <c r="CB67" s="834"/>
      <c r="CC67" s="834"/>
      <c r="CD67" s="834"/>
      <c r="CE67" s="834"/>
      <c r="CF67" s="834"/>
      <c r="CG67" s="834"/>
      <c r="CH67" s="834"/>
      <c r="CI67" s="834"/>
      <c r="CJ67" s="834"/>
      <c r="CK67" s="834"/>
      <c r="CL67" s="834"/>
      <c r="CM67" s="834"/>
      <c r="CN67" s="834"/>
      <c r="CO67" s="834"/>
      <c r="CP67" s="834"/>
      <c r="CQ67" s="834"/>
      <c r="CR67" s="834"/>
      <c r="CS67" s="834"/>
      <c r="CT67" s="834"/>
      <c r="CU67" s="834"/>
      <c r="CV67" s="834"/>
      <c r="CW67" s="834"/>
      <c r="CX67" s="834"/>
      <c r="CY67" s="834"/>
      <c r="CZ67" s="834"/>
      <c r="DA67" s="834"/>
      <c r="DB67" s="834"/>
      <c r="DC67" s="834"/>
      <c r="DD67" s="839"/>
      <c r="DE67" s="1098"/>
      <c r="DF67" s="1098"/>
      <c r="DG67" s="1098"/>
      <c r="DH67" s="1098"/>
      <c r="DI67" s="1098"/>
      <c r="DJ67" s="1098"/>
      <c r="DK67" s="1098"/>
      <c r="DL67" s="1098"/>
      <c r="DM67" s="1098"/>
      <c r="DN67" s="1098"/>
      <c r="DO67" s="1098"/>
    </row>
    <row r="68" spans="1:119" s="1086" customFormat="1">
      <c r="A68" s="1089"/>
      <c r="B68" s="1148">
        <v>3</v>
      </c>
      <c r="C68" s="1090" t="s">
        <v>380</v>
      </c>
      <c r="D68" s="1149">
        <v>6.4368359692923593E-2</v>
      </c>
      <c r="E68" s="1089" t="s">
        <v>391</v>
      </c>
      <c r="F68" s="1150">
        <v>6.01253118822698E-2</v>
      </c>
      <c r="G68" s="1089" t="s">
        <v>381</v>
      </c>
      <c r="H68" s="1150">
        <v>6.2087879447931697E-2</v>
      </c>
      <c r="I68" s="1089" t="s">
        <v>381</v>
      </c>
      <c r="J68" s="1150">
        <v>5.76351321953271E-2</v>
      </c>
      <c r="K68" s="1089" t="s">
        <v>381</v>
      </c>
      <c r="L68" s="1150">
        <v>5.5147296940468403E-2</v>
      </c>
      <c r="M68" s="1089" t="s">
        <v>381</v>
      </c>
      <c r="N68" s="1150">
        <v>5.1697934827360098E-2</v>
      </c>
      <c r="O68" s="1089" t="s">
        <v>391</v>
      </c>
      <c r="P68" s="1150">
        <v>5.4901359551728701E-2</v>
      </c>
      <c r="Q68" s="1089" t="s">
        <v>391</v>
      </c>
      <c r="R68" s="1150">
        <v>5.3866671711248156E-2</v>
      </c>
      <c r="S68" s="1089" t="s">
        <v>394</v>
      </c>
      <c r="T68" s="1150">
        <v>5.8000000000000003E-2</v>
      </c>
      <c r="U68" s="1090" t="s">
        <v>394</v>
      </c>
      <c r="V68" s="1154">
        <v>6.7634213473877977E-2</v>
      </c>
      <c r="W68" s="1086" t="s">
        <v>394</v>
      </c>
      <c r="X68" s="1159">
        <v>7.0999999999999994E-2</v>
      </c>
      <c r="Y68" s="1113">
        <f t="shared" si="0"/>
        <v>23</v>
      </c>
      <c r="Z68" s="834"/>
      <c r="AA68" s="834"/>
      <c r="AB68" s="834"/>
      <c r="AC68" s="834"/>
      <c r="AD68" s="834"/>
      <c r="AE68" s="834"/>
      <c r="AF68" s="834"/>
      <c r="AG68" s="834"/>
      <c r="AH68" s="834"/>
      <c r="AI68" s="834"/>
      <c r="AJ68" s="834"/>
      <c r="AK68" s="834"/>
      <c r="AL68" s="834"/>
      <c r="AM68" s="834"/>
      <c r="AN68" s="834"/>
      <c r="AO68" s="834"/>
      <c r="AP68" s="834"/>
      <c r="AQ68" s="834"/>
      <c r="AR68" s="834"/>
      <c r="AS68" s="834"/>
      <c r="AT68" s="834"/>
      <c r="AU68" s="834"/>
      <c r="AV68" s="834"/>
      <c r="AW68" s="834"/>
      <c r="AX68" s="834"/>
      <c r="AY68" s="834"/>
      <c r="AZ68" s="834"/>
      <c r="BA68" s="834"/>
      <c r="BB68" s="834"/>
      <c r="BC68" s="834"/>
      <c r="BD68" s="834"/>
      <c r="BE68" s="834"/>
      <c r="BF68" s="834"/>
      <c r="BG68" s="834"/>
      <c r="BH68" s="834"/>
      <c r="BI68" s="834"/>
      <c r="BJ68" s="834"/>
      <c r="BK68" s="834"/>
      <c r="BL68" s="834"/>
      <c r="BM68" s="834"/>
      <c r="BN68" s="834"/>
      <c r="BO68" s="834"/>
      <c r="BP68" s="834"/>
      <c r="BQ68" s="834"/>
      <c r="BR68" s="834"/>
      <c r="BS68" s="834"/>
      <c r="BT68" s="834"/>
      <c r="BU68" s="834"/>
      <c r="BV68" s="834"/>
      <c r="BW68" s="834"/>
      <c r="BX68" s="834"/>
      <c r="BY68" s="834"/>
      <c r="BZ68" s="834"/>
      <c r="CA68" s="834"/>
      <c r="CB68" s="834"/>
      <c r="CC68" s="834"/>
      <c r="CD68" s="834"/>
      <c r="CE68" s="834"/>
      <c r="CF68" s="834"/>
      <c r="CG68" s="834"/>
      <c r="CH68" s="834"/>
      <c r="CI68" s="834"/>
      <c r="CJ68" s="834"/>
      <c r="CK68" s="834"/>
      <c r="CL68" s="834"/>
      <c r="CM68" s="834"/>
      <c r="CN68" s="834"/>
      <c r="CO68" s="834"/>
      <c r="CP68" s="834"/>
      <c r="CQ68" s="834"/>
      <c r="CR68" s="834"/>
      <c r="CS68" s="834"/>
      <c r="CT68" s="834"/>
      <c r="CU68" s="834"/>
      <c r="CV68" s="834"/>
      <c r="CW68" s="834"/>
      <c r="CX68" s="834"/>
      <c r="CY68" s="834"/>
      <c r="CZ68" s="834"/>
      <c r="DA68" s="834"/>
      <c r="DB68" s="834"/>
      <c r="DC68" s="834"/>
      <c r="DD68" s="839"/>
      <c r="DE68" s="1098"/>
      <c r="DF68" s="1098"/>
      <c r="DG68" s="1098"/>
      <c r="DH68" s="1098"/>
      <c r="DI68" s="1098"/>
      <c r="DJ68" s="1098"/>
      <c r="DK68" s="1098"/>
      <c r="DL68" s="1098"/>
      <c r="DM68" s="1098"/>
      <c r="DN68" s="1098"/>
      <c r="DO68" s="1098"/>
    </row>
    <row r="69" spans="1:119" s="1086" customFormat="1">
      <c r="A69" s="1089"/>
      <c r="B69" s="1148">
        <v>4</v>
      </c>
      <c r="C69" s="1090" t="s">
        <v>381</v>
      </c>
      <c r="D69" s="1149">
        <v>5.5448626295066097E-2</v>
      </c>
      <c r="E69" s="1089" t="s">
        <v>381</v>
      </c>
      <c r="F69" s="1150">
        <v>5.6029554497456703E-2</v>
      </c>
      <c r="G69" s="1089" t="s">
        <v>391</v>
      </c>
      <c r="H69" s="1150">
        <v>6.0107720639195297E-2</v>
      </c>
      <c r="I69" s="1089" t="s">
        <v>391</v>
      </c>
      <c r="J69" s="1150">
        <v>5.6059133780994197E-2</v>
      </c>
      <c r="K69" s="1089" t="s">
        <v>391</v>
      </c>
      <c r="L69" s="1150">
        <v>5.0812835983000897E-2</v>
      </c>
      <c r="M69" s="1089" t="s">
        <v>391</v>
      </c>
      <c r="N69" s="1150">
        <v>5.1169315692363999E-2</v>
      </c>
      <c r="O69" s="1089" t="s">
        <v>394</v>
      </c>
      <c r="P69" s="1150">
        <v>5.09399156276737E-2</v>
      </c>
      <c r="Q69" s="1089" t="s">
        <v>394</v>
      </c>
      <c r="R69" s="1150">
        <v>5.1374333169384438E-2</v>
      </c>
      <c r="S69" s="1089" t="s">
        <v>376</v>
      </c>
      <c r="T69" s="1150">
        <v>5.3999999999999999E-2</v>
      </c>
      <c r="U69" s="1090" t="s">
        <v>376</v>
      </c>
      <c r="V69" s="1154">
        <v>5.3793923817627702E-2</v>
      </c>
      <c r="W69" s="1086" t="s">
        <v>391</v>
      </c>
      <c r="X69" s="1159">
        <v>5.8000000000000003E-2</v>
      </c>
      <c r="Y69" s="1113">
        <f t="shared" si="0"/>
        <v>24</v>
      </c>
      <c r="Z69" s="834"/>
      <c r="AA69" s="834"/>
      <c r="AB69" s="834"/>
      <c r="AC69" s="834"/>
      <c r="AD69" s="834"/>
      <c r="AE69" s="834"/>
      <c r="AF69" s="834"/>
      <c r="AG69" s="834"/>
      <c r="AH69" s="834"/>
      <c r="AI69" s="834"/>
      <c r="AJ69" s="834"/>
      <c r="AK69" s="834"/>
      <c r="AL69" s="834"/>
      <c r="AM69" s="834"/>
      <c r="AN69" s="834"/>
      <c r="AO69" s="834"/>
      <c r="AP69" s="834"/>
      <c r="AQ69" s="834"/>
      <c r="AR69" s="834"/>
      <c r="AS69" s="834"/>
      <c r="AT69" s="834"/>
      <c r="AU69" s="834"/>
      <c r="AV69" s="834"/>
      <c r="AW69" s="834"/>
      <c r="AX69" s="834"/>
      <c r="AY69" s="834"/>
      <c r="AZ69" s="834"/>
      <c r="BA69" s="834"/>
      <c r="BB69" s="834"/>
      <c r="BC69" s="834"/>
      <c r="BD69" s="834"/>
      <c r="BE69" s="834"/>
      <c r="BF69" s="834"/>
      <c r="BG69" s="834"/>
      <c r="BH69" s="834"/>
      <c r="BI69" s="834"/>
      <c r="BJ69" s="834"/>
      <c r="BK69" s="834"/>
      <c r="BL69" s="834"/>
      <c r="BM69" s="834"/>
      <c r="BN69" s="834"/>
      <c r="BO69" s="834"/>
      <c r="BP69" s="834"/>
      <c r="BQ69" s="834"/>
      <c r="BR69" s="834"/>
      <c r="BS69" s="834"/>
      <c r="BT69" s="834"/>
      <c r="BU69" s="834"/>
      <c r="BV69" s="834"/>
      <c r="BW69" s="834"/>
      <c r="BX69" s="834"/>
      <c r="BY69" s="834"/>
      <c r="BZ69" s="834"/>
      <c r="CA69" s="834"/>
      <c r="CB69" s="834"/>
      <c r="CC69" s="834"/>
      <c r="CD69" s="834"/>
      <c r="CE69" s="834"/>
      <c r="CF69" s="834"/>
      <c r="CG69" s="834"/>
      <c r="CH69" s="834"/>
      <c r="CI69" s="834"/>
      <c r="CJ69" s="834"/>
      <c r="CK69" s="834"/>
      <c r="CL69" s="834"/>
      <c r="CM69" s="834"/>
      <c r="CN69" s="834"/>
      <c r="CO69" s="834"/>
      <c r="CP69" s="834"/>
      <c r="CQ69" s="834"/>
      <c r="CR69" s="834"/>
      <c r="CS69" s="834"/>
      <c r="CT69" s="834"/>
      <c r="CU69" s="834"/>
      <c r="CV69" s="834"/>
      <c r="CW69" s="834"/>
      <c r="CX69" s="834"/>
      <c r="CY69" s="834"/>
      <c r="CZ69" s="834"/>
      <c r="DA69" s="834"/>
      <c r="DB69" s="834"/>
      <c r="DC69" s="834"/>
      <c r="DD69" s="839"/>
      <c r="DE69" s="1098"/>
      <c r="DF69" s="1098"/>
      <c r="DG69" s="1098"/>
      <c r="DH69" s="1098"/>
      <c r="DI69" s="1098"/>
      <c r="DJ69" s="1098"/>
      <c r="DK69" s="1098"/>
      <c r="DL69" s="1098"/>
      <c r="DM69" s="1098"/>
      <c r="DN69" s="1098"/>
      <c r="DO69" s="1098"/>
    </row>
    <row r="70" spans="1:119" s="1086" customFormat="1">
      <c r="A70" s="1089"/>
      <c r="B70" s="1148">
        <v>5</v>
      </c>
      <c r="C70" s="1090" t="s">
        <v>395</v>
      </c>
      <c r="D70" s="1149">
        <v>4.6869844482083499E-2</v>
      </c>
      <c r="E70" s="1089" t="s">
        <v>395</v>
      </c>
      <c r="F70" s="1150">
        <v>4.73349628282069E-2</v>
      </c>
      <c r="G70" s="1089" t="s">
        <v>378</v>
      </c>
      <c r="H70" s="1150">
        <v>4.73604483079543E-2</v>
      </c>
      <c r="I70" s="1089" t="s">
        <v>395</v>
      </c>
      <c r="J70" s="1150">
        <v>4.61148738476116E-2</v>
      </c>
      <c r="K70" s="1089" t="s">
        <v>394</v>
      </c>
      <c r="L70" s="1150">
        <v>4.94377656102871E-2</v>
      </c>
      <c r="M70" s="1089" t="s">
        <v>394</v>
      </c>
      <c r="N70" s="1150">
        <v>4.7311412582151997E-2</v>
      </c>
      <c r="O70" s="1089" t="s">
        <v>381</v>
      </c>
      <c r="P70" s="1150">
        <v>5.0133779098808597E-2</v>
      </c>
      <c r="Q70" s="1089" t="s">
        <v>378</v>
      </c>
      <c r="R70" s="1150">
        <v>5.035753471302637E-2</v>
      </c>
      <c r="S70" s="1089" t="s">
        <v>391</v>
      </c>
      <c r="T70" s="1150">
        <v>5.2999999999999999E-2</v>
      </c>
      <c r="U70" s="1090" t="s">
        <v>391</v>
      </c>
      <c r="V70" s="1154">
        <v>5.3047208064530137E-2</v>
      </c>
      <c r="W70" s="1086" t="s">
        <v>376</v>
      </c>
      <c r="X70" s="1159">
        <v>5.3999999999999999E-2</v>
      </c>
      <c r="Y70" s="1113">
        <f t="shared" si="0"/>
        <v>25</v>
      </c>
      <c r="Z70" s="834"/>
      <c r="AA70" s="834"/>
      <c r="AB70" s="834"/>
      <c r="AC70" s="834"/>
      <c r="AD70" s="834"/>
      <c r="AE70" s="834"/>
      <c r="AF70" s="834"/>
      <c r="AG70" s="834"/>
      <c r="AH70" s="834"/>
      <c r="AI70" s="834"/>
      <c r="AJ70" s="834"/>
      <c r="AK70" s="834"/>
      <c r="AL70" s="834"/>
      <c r="AM70" s="834"/>
      <c r="AN70" s="834"/>
      <c r="AO70" s="834"/>
      <c r="AP70" s="834"/>
      <c r="AQ70" s="834"/>
      <c r="AR70" s="834"/>
      <c r="AS70" s="834"/>
      <c r="AT70" s="834"/>
      <c r="AU70" s="834"/>
      <c r="AV70" s="834"/>
      <c r="AW70" s="834"/>
      <c r="AX70" s="834"/>
      <c r="AY70" s="834"/>
      <c r="AZ70" s="834"/>
      <c r="BA70" s="834"/>
      <c r="BB70" s="834"/>
      <c r="BC70" s="834"/>
      <c r="BD70" s="834"/>
      <c r="BE70" s="834"/>
      <c r="BF70" s="834"/>
      <c r="BG70" s="834"/>
      <c r="BH70" s="834"/>
      <c r="BI70" s="834"/>
      <c r="BJ70" s="834"/>
      <c r="BK70" s="834"/>
      <c r="BL70" s="834"/>
      <c r="BM70" s="834"/>
      <c r="BN70" s="834"/>
      <c r="BO70" s="834"/>
      <c r="BP70" s="834"/>
      <c r="BQ70" s="834"/>
      <c r="BR70" s="834"/>
      <c r="BS70" s="834"/>
      <c r="BT70" s="834"/>
      <c r="BU70" s="834"/>
      <c r="BV70" s="834"/>
      <c r="BW70" s="834"/>
      <c r="BX70" s="834"/>
      <c r="BY70" s="834"/>
      <c r="BZ70" s="834"/>
      <c r="CA70" s="834"/>
      <c r="CB70" s="834"/>
      <c r="CC70" s="834"/>
      <c r="CD70" s="834"/>
      <c r="CE70" s="834"/>
      <c r="CF70" s="834"/>
      <c r="CG70" s="834"/>
      <c r="CH70" s="834"/>
      <c r="CI70" s="834"/>
      <c r="CJ70" s="834"/>
      <c r="CK70" s="834"/>
      <c r="CL70" s="834"/>
      <c r="CM70" s="834"/>
      <c r="CN70" s="834"/>
      <c r="CO70" s="834"/>
      <c r="CP70" s="834"/>
      <c r="CQ70" s="834"/>
      <c r="CR70" s="834"/>
      <c r="CS70" s="834"/>
      <c r="CT70" s="834"/>
      <c r="CU70" s="834"/>
      <c r="CV70" s="834"/>
      <c r="CW70" s="834"/>
      <c r="CX70" s="834"/>
      <c r="CY70" s="834"/>
      <c r="CZ70" s="834"/>
      <c r="DA70" s="834"/>
      <c r="DB70" s="834"/>
      <c r="DC70" s="834"/>
      <c r="DD70" s="839"/>
      <c r="DE70" s="1098"/>
      <c r="DF70" s="1098"/>
      <c r="DG70" s="1098"/>
      <c r="DH70" s="1098"/>
      <c r="DI70" s="1098"/>
      <c r="DJ70" s="1098"/>
      <c r="DK70" s="1098"/>
      <c r="DL70" s="1098"/>
      <c r="DM70" s="1098"/>
      <c r="DN70" s="1098"/>
      <c r="DO70" s="1098"/>
    </row>
    <row r="71" spans="1:119" s="1086" customFormat="1">
      <c r="A71" s="1089"/>
      <c r="B71" s="1148">
        <v>6</v>
      </c>
      <c r="C71" s="1090" t="s">
        <v>378</v>
      </c>
      <c r="D71" s="1149">
        <v>4.2404478564043897E-2</v>
      </c>
      <c r="E71" s="1089" t="s">
        <v>378</v>
      </c>
      <c r="F71" s="1150">
        <v>4.2045033004893602E-2</v>
      </c>
      <c r="G71" s="1089" t="s">
        <v>395</v>
      </c>
      <c r="H71" s="1150">
        <v>4.5276331161759199E-2</v>
      </c>
      <c r="I71" s="1089" t="s">
        <v>394</v>
      </c>
      <c r="J71" s="1150">
        <v>4.4345501394710302E-2</v>
      </c>
      <c r="K71" s="1089" t="s">
        <v>395</v>
      </c>
      <c r="L71" s="1150">
        <v>4.5935321871092102E-2</v>
      </c>
      <c r="M71" s="1089" t="s">
        <v>395</v>
      </c>
      <c r="N71" s="1150">
        <v>4.5725555177163701E-2</v>
      </c>
      <c r="O71" s="1089" t="s">
        <v>376</v>
      </c>
      <c r="P71" s="1150">
        <v>4.7116949144160002E-2</v>
      </c>
      <c r="Q71" s="1089" t="s">
        <v>381</v>
      </c>
      <c r="R71" s="1150">
        <v>4.8480004540123342E-2</v>
      </c>
      <c r="S71" s="1089" t="s">
        <v>381</v>
      </c>
      <c r="T71" s="1150">
        <v>0.05</v>
      </c>
      <c r="U71" s="1090" t="s">
        <v>381</v>
      </c>
      <c r="V71" s="1154">
        <v>4.8723202889616311E-2</v>
      </c>
      <c r="W71" s="1086" t="s">
        <v>381</v>
      </c>
      <c r="X71" s="1159">
        <v>4.8000000000000001E-2</v>
      </c>
      <c r="Y71" s="1113">
        <f t="shared" si="0"/>
        <v>26</v>
      </c>
      <c r="Z71" s="834"/>
      <c r="AA71" s="834"/>
      <c r="AB71" s="834"/>
      <c r="AC71" s="834"/>
      <c r="AD71" s="834"/>
      <c r="AE71" s="834"/>
      <c r="AF71" s="834"/>
      <c r="AG71" s="834"/>
      <c r="AH71" s="834"/>
      <c r="AI71" s="834"/>
      <c r="AJ71" s="834"/>
      <c r="AK71" s="834"/>
      <c r="AL71" s="834"/>
      <c r="AM71" s="834"/>
      <c r="AN71" s="834"/>
      <c r="AO71" s="834"/>
      <c r="AP71" s="834"/>
      <c r="AQ71" s="834"/>
      <c r="AR71" s="834"/>
      <c r="AS71" s="834"/>
      <c r="AT71" s="834"/>
      <c r="AU71" s="834"/>
      <c r="AV71" s="834"/>
      <c r="AW71" s="834"/>
      <c r="AX71" s="834"/>
      <c r="AY71" s="834"/>
      <c r="AZ71" s="834"/>
      <c r="BA71" s="834"/>
      <c r="BB71" s="834"/>
      <c r="BC71" s="834"/>
      <c r="BD71" s="834"/>
      <c r="BE71" s="834"/>
      <c r="BF71" s="834"/>
      <c r="BG71" s="834"/>
      <c r="BH71" s="834"/>
      <c r="BI71" s="834"/>
      <c r="BJ71" s="834"/>
      <c r="BK71" s="834"/>
      <c r="BL71" s="834"/>
      <c r="BM71" s="834"/>
      <c r="BN71" s="834"/>
      <c r="BO71" s="834"/>
      <c r="BP71" s="834"/>
      <c r="BQ71" s="834"/>
      <c r="BR71" s="834"/>
      <c r="BS71" s="834"/>
      <c r="BT71" s="834"/>
      <c r="BU71" s="834"/>
      <c r="BV71" s="834"/>
      <c r="BW71" s="834"/>
      <c r="BX71" s="834"/>
      <c r="BY71" s="834"/>
      <c r="BZ71" s="834"/>
      <c r="CA71" s="834"/>
      <c r="CB71" s="834"/>
      <c r="CC71" s="834"/>
      <c r="CD71" s="834"/>
      <c r="CE71" s="834"/>
      <c r="CF71" s="834"/>
      <c r="CG71" s="834"/>
      <c r="CH71" s="834"/>
      <c r="CI71" s="834"/>
      <c r="CJ71" s="834"/>
      <c r="CK71" s="834"/>
      <c r="CL71" s="834"/>
      <c r="CM71" s="834"/>
      <c r="CN71" s="834"/>
      <c r="CO71" s="834"/>
      <c r="CP71" s="834"/>
      <c r="CQ71" s="834"/>
      <c r="CR71" s="834"/>
      <c r="CS71" s="834"/>
      <c r="CT71" s="834"/>
      <c r="CU71" s="834"/>
      <c r="CV71" s="834"/>
      <c r="CW71" s="834"/>
      <c r="CX71" s="834"/>
      <c r="CY71" s="834"/>
      <c r="CZ71" s="834"/>
      <c r="DA71" s="834"/>
      <c r="DB71" s="834"/>
      <c r="DC71" s="834"/>
      <c r="DD71" s="839"/>
      <c r="DE71" s="1098"/>
      <c r="DF71" s="1098"/>
      <c r="DG71" s="1098"/>
      <c r="DH71" s="1098"/>
      <c r="DI71" s="1098"/>
      <c r="DJ71" s="1098"/>
      <c r="DK71" s="1098"/>
      <c r="DL71" s="1098"/>
      <c r="DM71" s="1098"/>
      <c r="DN71" s="1098"/>
      <c r="DO71" s="1098"/>
    </row>
    <row r="72" spans="1:119" s="1086" customFormat="1">
      <c r="A72" s="1089"/>
      <c r="B72" s="1148">
        <v>7</v>
      </c>
      <c r="C72" s="1090" t="s">
        <v>394</v>
      </c>
      <c r="D72" s="1149">
        <v>4.1596093354743603E-2</v>
      </c>
      <c r="E72" s="1089" t="s">
        <v>382</v>
      </c>
      <c r="F72" s="1150">
        <v>3.8127131089644203E-2</v>
      </c>
      <c r="G72" s="1089" t="s">
        <v>382</v>
      </c>
      <c r="H72" s="1150">
        <v>3.8722005504841499E-2</v>
      </c>
      <c r="I72" s="1089" t="s">
        <v>378</v>
      </c>
      <c r="J72" s="1150">
        <v>4.4045771634929197E-2</v>
      </c>
      <c r="K72" s="1089" t="s">
        <v>378</v>
      </c>
      <c r="L72" s="1150">
        <v>4.2926109896022802E-2</v>
      </c>
      <c r="M72" s="1089" t="s">
        <v>378</v>
      </c>
      <c r="N72" s="1150">
        <v>4.20811328714693E-2</v>
      </c>
      <c r="O72" s="1089" t="s">
        <v>395</v>
      </c>
      <c r="P72" s="1150">
        <v>4.4565007739899798E-2</v>
      </c>
      <c r="Q72" s="1089" t="s">
        <v>376</v>
      </c>
      <c r="R72" s="1150">
        <v>4.7836820400287541E-2</v>
      </c>
      <c r="S72" s="1089" t="s">
        <v>395</v>
      </c>
      <c r="T72" s="1150">
        <v>4.5999999999999999E-2</v>
      </c>
      <c r="U72" s="1090" t="s">
        <v>382</v>
      </c>
      <c r="V72" s="1154">
        <v>4.3370292868864554E-2</v>
      </c>
      <c r="W72" s="1086" t="s">
        <v>378</v>
      </c>
      <c r="X72" s="1159">
        <v>4.4999999999999998E-2</v>
      </c>
      <c r="Y72" s="1113">
        <f t="shared" si="0"/>
        <v>27</v>
      </c>
      <c r="Z72" s="834"/>
      <c r="AA72" s="834"/>
      <c r="AB72" s="834"/>
      <c r="AC72" s="834"/>
      <c r="AD72" s="834"/>
      <c r="AE72" s="834"/>
      <c r="AF72" s="834"/>
      <c r="AG72" s="834"/>
      <c r="AH72" s="834"/>
      <c r="AI72" s="834"/>
      <c r="AJ72" s="834"/>
      <c r="AK72" s="834"/>
      <c r="AL72" s="834"/>
      <c r="AM72" s="834"/>
      <c r="AN72" s="834"/>
      <c r="AO72" s="834"/>
      <c r="AP72" s="834"/>
      <c r="AQ72" s="834"/>
      <c r="AR72" s="834"/>
      <c r="AS72" s="834"/>
      <c r="AT72" s="834"/>
      <c r="AU72" s="834"/>
      <c r="AV72" s="834"/>
      <c r="AW72" s="834"/>
      <c r="AX72" s="834"/>
      <c r="AY72" s="834"/>
      <c r="AZ72" s="834"/>
      <c r="BA72" s="834"/>
      <c r="BB72" s="834"/>
      <c r="BC72" s="834"/>
      <c r="BD72" s="834"/>
      <c r="BE72" s="834"/>
      <c r="BF72" s="834"/>
      <c r="BG72" s="834"/>
      <c r="BH72" s="834"/>
      <c r="BI72" s="834"/>
      <c r="BJ72" s="834"/>
      <c r="BK72" s="834"/>
      <c r="BL72" s="834"/>
      <c r="BM72" s="834"/>
      <c r="BN72" s="834"/>
      <c r="BO72" s="834"/>
      <c r="BP72" s="834"/>
      <c r="BQ72" s="834"/>
      <c r="BR72" s="834"/>
      <c r="BS72" s="834"/>
      <c r="BT72" s="834"/>
      <c r="BU72" s="834"/>
      <c r="BV72" s="834"/>
      <c r="BW72" s="834"/>
      <c r="BX72" s="834"/>
      <c r="BY72" s="834"/>
      <c r="BZ72" s="834"/>
      <c r="CA72" s="834"/>
      <c r="CB72" s="834"/>
      <c r="CC72" s="834"/>
      <c r="CD72" s="834"/>
      <c r="CE72" s="834"/>
      <c r="CF72" s="834"/>
      <c r="CG72" s="834"/>
      <c r="CH72" s="834"/>
      <c r="CI72" s="834"/>
      <c r="CJ72" s="834"/>
      <c r="CK72" s="834"/>
      <c r="CL72" s="834"/>
      <c r="CM72" s="834"/>
      <c r="CN72" s="834"/>
      <c r="CO72" s="834"/>
      <c r="CP72" s="834"/>
      <c r="CQ72" s="834"/>
      <c r="CR72" s="834"/>
      <c r="CS72" s="834"/>
      <c r="CT72" s="834"/>
      <c r="CU72" s="834"/>
      <c r="CV72" s="834"/>
      <c r="CW72" s="834"/>
      <c r="CX72" s="834"/>
      <c r="CY72" s="834"/>
      <c r="CZ72" s="834"/>
      <c r="DA72" s="834"/>
      <c r="DB72" s="834"/>
      <c r="DC72" s="834"/>
      <c r="DD72" s="839"/>
      <c r="DE72" s="1098"/>
      <c r="DF72" s="1098"/>
      <c r="DG72" s="1098"/>
      <c r="DH72" s="1098"/>
      <c r="DI72" s="1098"/>
      <c r="DJ72" s="1098"/>
      <c r="DK72" s="1098"/>
      <c r="DL72" s="1098"/>
      <c r="DM72" s="1098"/>
      <c r="DN72" s="1098"/>
      <c r="DO72" s="1098"/>
    </row>
    <row r="73" spans="1:119" s="1086" customFormat="1">
      <c r="A73" s="1089"/>
      <c r="B73" s="1148">
        <v>8</v>
      </c>
      <c r="C73" s="1090" t="s">
        <v>392</v>
      </c>
      <c r="D73" s="1149">
        <v>3.8219572820659499E-2</v>
      </c>
      <c r="E73" s="1089" t="s">
        <v>392</v>
      </c>
      <c r="F73" s="1150">
        <v>3.7044753517727097E-2</v>
      </c>
      <c r="G73" s="1089" t="s">
        <v>394</v>
      </c>
      <c r="H73" s="1150">
        <v>3.8558642403120701E-2</v>
      </c>
      <c r="I73" s="1089" t="s">
        <v>382</v>
      </c>
      <c r="J73" s="1150">
        <v>4.0018757281741098E-2</v>
      </c>
      <c r="K73" s="1089" t="s">
        <v>382</v>
      </c>
      <c r="L73" s="1150">
        <v>4.0639308080531303E-2</v>
      </c>
      <c r="M73" s="1089" t="s">
        <v>376</v>
      </c>
      <c r="N73" s="1150">
        <v>4.1222126777100597E-2</v>
      </c>
      <c r="O73" s="1089" t="s">
        <v>378</v>
      </c>
      <c r="P73" s="1150">
        <v>4.1093180480615603E-2</v>
      </c>
      <c r="Q73" s="1089" t="s">
        <v>395</v>
      </c>
      <c r="R73" s="1150">
        <v>4.4521584503045664E-2</v>
      </c>
      <c r="S73" s="1089" t="s">
        <v>378</v>
      </c>
      <c r="T73" s="1150">
        <v>4.2999999999999997E-2</v>
      </c>
      <c r="U73" s="1090" t="s">
        <v>378</v>
      </c>
      <c r="V73" s="1154">
        <v>4.0952149412612548E-2</v>
      </c>
      <c r="W73" s="1086" t="s">
        <v>382</v>
      </c>
      <c r="X73" s="1159">
        <v>4.2999999999999997E-2</v>
      </c>
      <c r="Y73" s="1113">
        <f t="shared" si="0"/>
        <v>28</v>
      </c>
      <c r="Z73" s="834"/>
      <c r="AA73" s="834"/>
      <c r="AB73" s="834"/>
      <c r="AC73" s="834"/>
      <c r="AD73" s="834"/>
      <c r="AE73" s="834"/>
      <c r="AF73" s="834"/>
      <c r="AG73" s="834"/>
      <c r="AH73" s="834"/>
      <c r="AI73" s="834"/>
      <c r="AJ73" s="834"/>
      <c r="AK73" s="834"/>
      <c r="AL73" s="834"/>
      <c r="AM73" s="834"/>
      <c r="AN73" s="834"/>
      <c r="AO73" s="834"/>
      <c r="AP73" s="834"/>
      <c r="AQ73" s="834"/>
      <c r="AR73" s="834"/>
      <c r="AS73" s="834"/>
      <c r="AT73" s="834"/>
      <c r="AU73" s="834"/>
      <c r="AV73" s="834"/>
      <c r="AW73" s="834"/>
      <c r="AX73" s="834"/>
      <c r="AY73" s="834"/>
      <c r="AZ73" s="834"/>
      <c r="BA73" s="834"/>
      <c r="BB73" s="834"/>
      <c r="BC73" s="834"/>
      <c r="BD73" s="834"/>
      <c r="BE73" s="834"/>
      <c r="BF73" s="834"/>
      <c r="BG73" s="834"/>
      <c r="BH73" s="834"/>
      <c r="BI73" s="834"/>
      <c r="BJ73" s="834"/>
      <c r="BK73" s="834"/>
      <c r="BL73" s="834"/>
      <c r="BM73" s="834"/>
      <c r="BN73" s="834"/>
      <c r="BO73" s="834"/>
      <c r="BP73" s="834"/>
      <c r="BQ73" s="834"/>
      <c r="BR73" s="834"/>
      <c r="BS73" s="834"/>
      <c r="BT73" s="834"/>
      <c r="BU73" s="834"/>
      <c r="BV73" s="834"/>
      <c r="BW73" s="834"/>
      <c r="BX73" s="834"/>
      <c r="BY73" s="834"/>
      <c r="BZ73" s="834"/>
      <c r="CA73" s="834"/>
      <c r="CB73" s="834"/>
      <c r="CC73" s="834"/>
      <c r="CD73" s="834"/>
      <c r="CE73" s="834"/>
      <c r="CF73" s="834"/>
      <c r="CG73" s="834"/>
      <c r="CH73" s="834"/>
      <c r="CI73" s="834"/>
      <c r="CJ73" s="834"/>
      <c r="CK73" s="834"/>
      <c r="CL73" s="834"/>
      <c r="CM73" s="834"/>
      <c r="CN73" s="834"/>
      <c r="CO73" s="834"/>
      <c r="CP73" s="834"/>
      <c r="CQ73" s="834"/>
      <c r="CR73" s="834"/>
      <c r="CS73" s="834"/>
      <c r="CT73" s="834"/>
      <c r="CU73" s="834"/>
      <c r="CV73" s="834"/>
      <c r="CW73" s="834"/>
      <c r="CX73" s="834"/>
      <c r="CY73" s="834"/>
      <c r="CZ73" s="834"/>
      <c r="DA73" s="834"/>
      <c r="DB73" s="834"/>
      <c r="DC73" s="834"/>
      <c r="DD73" s="839"/>
      <c r="DE73" s="1098"/>
      <c r="DF73" s="1098"/>
      <c r="DG73" s="1098"/>
      <c r="DH73" s="1098"/>
      <c r="DI73" s="1098"/>
      <c r="DJ73" s="1098"/>
      <c r="DK73" s="1098"/>
      <c r="DL73" s="1098"/>
      <c r="DM73" s="1098"/>
      <c r="DN73" s="1098"/>
      <c r="DO73" s="1098"/>
    </row>
    <row r="74" spans="1:119" s="1086" customFormat="1">
      <c r="A74" s="1089"/>
      <c r="B74" s="1148">
        <v>9</v>
      </c>
      <c r="C74" s="1090" t="s">
        <v>382</v>
      </c>
      <c r="D74" s="1149">
        <v>3.63498383229581E-2</v>
      </c>
      <c r="E74" s="1089" t="s">
        <v>394</v>
      </c>
      <c r="F74" s="1150">
        <v>3.6551839787793E-2</v>
      </c>
      <c r="G74" s="1089" t="s">
        <v>376</v>
      </c>
      <c r="H74" s="1150">
        <v>3.4583473594582297E-2</v>
      </c>
      <c r="I74" s="1089" t="s">
        <v>376</v>
      </c>
      <c r="J74" s="1150">
        <v>3.7596747448671301E-2</v>
      </c>
      <c r="K74" s="1089" t="s">
        <v>376</v>
      </c>
      <c r="L74" s="1150">
        <v>4.0091272787058402E-2</v>
      </c>
      <c r="M74" s="1089" t="s">
        <v>387</v>
      </c>
      <c r="N74" s="1150">
        <v>3.9661683753602503E-2</v>
      </c>
      <c r="O74" s="1089" t="s">
        <v>387</v>
      </c>
      <c r="P74" s="1150">
        <v>3.9297919376455902E-2</v>
      </c>
      <c r="Q74" s="1089" t="s">
        <v>387</v>
      </c>
      <c r="R74" s="1150">
        <v>3.8912640460065831E-2</v>
      </c>
      <c r="S74" s="1089" t="s">
        <v>387</v>
      </c>
      <c r="T74" s="1150">
        <v>0.04</v>
      </c>
      <c r="U74" s="1090" t="s">
        <v>395</v>
      </c>
      <c r="V74" s="1154">
        <v>4.019240954754235E-2</v>
      </c>
      <c r="W74" s="1086" t="s">
        <v>392</v>
      </c>
      <c r="X74" s="1159">
        <v>3.5999999999999997E-2</v>
      </c>
      <c r="Y74" s="1113">
        <f t="shared" si="0"/>
        <v>29</v>
      </c>
      <c r="Z74" s="834"/>
      <c r="AA74" s="834"/>
      <c r="AB74" s="834"/>
      <c r="AC74" s="834"/>
      <c r="AD74" s="834"/>
      <c r="AE74" s="834"/>
      <c r="AF74" s="834"/>
      <c r="AG74" s="834"/>
      <c r="AH74" s="834"/>
      <c r="AI74" s="834"/>
      <c r="AJ74" s="834"/>
      <c r="AK74" s="834"/>
      <c r="AL74" s="834"/>
      <c r="AM74" s="834"/>
      <c r="AN74" s="834"/>
      <c r="AO74" s="834"/>
      <c r="AP74" s="834"/>
      <c r="AQ74" s="834"/>
      <c r="AR74" s="834"/>
      <c r="AS74" s="834"/>
      <c r="AT74" s="834"/>
      <c r="AU74" s="834"/>
      <c r="AV74" s="834"/>
      <c r="AW74" s="834"/>
      <c r="AX74" s="834"/>
      <c r="AY74" s="834"/>
      <c r="AZ74" s="834"/>
      <c r="BA74" s="834"/>
      <c r="BB74" s="834"/>
      <c r="BC74" s="834"/>
      <c r="BD74" s="834"/>
      <c r="BE74" s="834"/>
      <c r="BF74" s="834"/>
      <c r="BG74" s="834"/>
      <c r="BH74" s="834"/>
      <c r="BI74" s="834"/>
      <c r="BJ74" s="834"/>
      <c r="BK74" s="834"/>
      <c r="BL74" s="834"/>
      <c r="BM74" s="834"/>
      <c r="BN74" s="834"/>
      <c r="BO74" s="834"/>
      <c r="BP74" s="834"/>
      <c r="BQ74" s="834"/>
      <c r="BR74" s="834"/>
      <c r="BS74" s="834"/>
      <c r="BT74" s="834"/>
      <c r="BU74" s="834"/>
      <c r="BV74" s="834"/>
      <c r="BW74" s="834"/>
      <c r="BX74" s="834"/>
      <c r="BY74" s="834"/>
      <c r="BZ74" s="834"/>
      <c r="CA74" s="834"/>
      <c r="CB74" s="834"/>
      <c r="CC74" s="834"/>
      <c r="CD74" s="834"/>
      <c r="CE74" s="834"/>
      <c r="CF74" s="834"/>
      <c r="CG74" s="834"/>
      <c r="CH74" s="834"/>
      <c r="CI74" s="834"/>
      <c r="CJ74" s="834"/>
      <c r="CK74" s="834"/>
      <c r="CL74" s="834"/>
      <c r="CM74" s="834"/>
      <c r="CN74" s="834"/>
      <c r="CO74" s="834"/>
      <c r="CP74" s="834"/>
      <c r="CQ74" s="834"/>
      <c r="CR74" s="834"/>
      <c r="CS74" s="834"/>
      <c r="CT74" s="834"/>
      <c r="CU74" s="834"/>
      <c r="CV74" s="834"/>
      <c r="CW74" s="834"/>
      <c r="CX74" s="834"/>
      <c r="CY74" s="834"/>
      <c r="CZ74" s="834"/>
      <c r="DA74" s="834"/>
      <c r="DB74" s="834"/>
      <c r="DC74" s="834"/>
      <c r="DD74" s="839"/>
      <c r="DE74" s="1098"/>
      <c r="DF74" s="1098"/>
      <c r="DG74" s="1098"/>
      <c r="DH74" s="1098"/>
      <c r="DI74" s="1098"/>
      <c r="DJ74" s="1098"/>
      <c r="DK74" s="1098"/>
      <c r="DL74" s="1098"/>
      <c r="DM74" s="1098"/>
      <c r="DN74" s="1098"/>
      <c r="DO74" s="1098"/>
    </row>
    <row r="75" spans="1:119" s="1086" customFormat="1">
      <c r="A75" s="1089"/>
      <c r="B75" s="1148">
        <v>10</v>
      </c>
      <c r="C75" s="1090" t="s">
        <v>388</v>
      </c>
      <c r="D75" s="1149">
        <v>3.25443786982249E-2</v>
      </c>
      <c r="E75" s="1089" t="s">
        <v>387</v>
      </c>
      <c r="F75" s="1150">
        <v>3.2369695460620303E-2</v>
      </c>
      <c r="G75" s="1089" t="s">
        <v>387</v>
      </c>
      <c r="H75" s="1150">
        <v>3.3831013247262398E-2</v>
      </c>
      <c r="I75" s="1089" t="s">
        <v>392</v>
      </c>
      <c r="J75" s="1150">
        <v>3.7422710813959703E-2</v>
      </c>
      <c r="K75" s="1089" t="s">
        <v>387</v>
      </c>
      <c r="L75" s="1150">
        <v>3.69176502239471E-2</v>
      </c>
      <c r="M75" s="1089" t="s">
        <v>382</v>
      </c>
      <c r="N75" s="1150">
        <v>3.8690854380676903E-2</v>
      </c>
      <c r="O75" s="1089" t="s">
        <v>382</v>
      </c>
      <c r="P75" s="1150">
        <v>3.9035801364002802E-2</v>
      </c>
      <c r="Q75" s="1089" t="s">
        <v>382</v>
      </c>
      <c r="R75" s="1150">
        <v>3.7295221520184635E-2</v>
      </c>
      <c r="S75" s="1089" t="s">
        <v>382</v>
      </c>
      <c r="T75" s="1150">
        <v>0.04</v>
      </c>
      <c r="U75" s="1090" t="s">
        <v>387</v>
      </c>
      <c r="V75" s="1154">
        <v>3.7288032577645416E-2</v>
      </c>
      <c r="W75" s="1114" t="s">
        <v>395</v>
      </c>
      <c r="X75" s="1157">
        <v>3.5000000000000003E-2</v>
      </c>
      <c r="Y75" s="1113">
        <f t="shared" si="0"/>
        <v>30</v>
      </c>
      <c r="Z75" s="834"/>
      <c r="AA75" s="834"/>
      <c r="AB75" s="834"/>
      <c r="AC75" s="834"/>
      <c r="AD75" s="834"/>
      <c r="AE75" s="834"/>
      <c r="AF75" s="834"/>
      <c r="AG75" s="834"/>
      <c r="AH75" s="834"/>
      <c r="AI75" s="834"/>
      <c r="AJ75" s="834"/>
      <c r="AK75" s="834"/>
      <c r="AL75" s="834"/>
      <c r="AM75" s="834"/>
      <c r="AN75" s="834"/>
      <c r="AO75" s="834"/>
      <c r="AP75" s="834"/>
      <c r="AQ75" s="834"/>
      <c r="AR75" s="834"/>
      <c r="AS75" s="834"/>
      <c r="AT75" s="834"/>
      <c r="AU75" s="834"/>
      <c r="AV75" s="834"/>
      <c r="AW75" s="834"/>
      <c r="AX75" s="834"/>
      <c r="AY75" s="834"/>
      <c r="AZ75" s="834"/>
      <c r="BA75" s="834"/>
      <c r="BB75" s="834"/>
      <c r="BC75" s="834"/>
      <c r="BD75" s="834"/>
      <c r="BE75" s="834"/>
      <c r="BF75" s="834"/>
      <c r="BG75" s="834"/>
      <c r="BH75" s="834"/>
      <c r="BI75" s="834"/>
      <c r="BJ75" s="834"/>
      <c r="BK75" s="834"/>
      <c r="BL75" s="834"/>
      <c r="BM75" s="834"/>
      <c r="BN75" s="834"/>
      <c r="BO75" s="834"/>
      <c r="BP75" s="834"/>
      <c r="BQ75" s="834"/>
      <c r="BR75" s="834"/>
      <c r="BS75" s="834"/>
      <c r="BT75" s="834"/>
      <c r="BU75" s="834"/>
      <c r="BV75" s="834"/>
      <c r="BW75" s="834"/>
      <c r="BX75" s="834"/>
      <c r="BY75" s="834"/>
      <c r="BZ75" s="834"/>
      <c r="CA75" s="834"/>
      <c r="CB75" s="834"/>
      <c r="CC75" s="834"/>
      <c r="CD75" s="834"/>
      <c r="CE75" s="834"/>
      <c r="CF75" s="834"/>
      <c r="CG75" s="834"/>
      <c r="CH75" s="834"/>
      <c r="CI75" s="834"/>
      <c r="CJ75" s="834"/>
      <c r="CK75" s="834"/>
      <c r="CL75" s="834"/>
      <c r="CM75" s="834"/>
      <c r="CN75" s="834"/>
      <c r="CO75" s="834"/>
      <c r="CP75" s="834"/>
      <c r="CQ75" s="834"/>
      <c r="CR75" s="834"/>
      <c r="CS75" s="834"/>
      <c r="CT75" s="834"/>
      <c r="CU75" s="834"/>
      <c r="CV75" s="834"/>
      <c r="CW75" s="834"/>
      <c r="CX75" s="834"/>
      <c r="CY75" s="834"/>
      <c r="CZ75" s="834"/>
      <c r="DA75" s="834"/>
      <c r="DB75" s="834"/>
      <c r="DC75" s="834"/>
      <c r="DD75" s="839"/>
      <c r="DE75" s="1098"/>
      <c r="DF75" s="1098"/>
      <c r="DG75" s="1098"/>
      <c r="DH75" s="1098"/>
      <c r="DI75" s="1098"/>
      <c r="DJ75" s="1098"/>
      <c r="DK75" s="1098"/>
      <c r="DL75" s="1098"/>
      <c r="DM75" s="1098"/>
      <c r="DN75" s="1098"/>
      <c r="DO75" s="1098"/>
    </row>
    <row r="76" spans="1:119" s="1086" customFormat="1">
      <c r="A76" s="1143" t="s">
        <v>43</v>
      </c>
      <c r="B76" s="1144">
        <v>1</v>
      </c>
      <c r="C76" s="1087" t="s">
        <v>379</v>
      </c>
      <c r="D76" s="1145">
        <v>7.4592216562891306E-2</v>
      </c>
      <c r="E76" s="1143" t="s">
        <v>379</v>
      </c>
      <c r="F76" s="1146">
        <v>7.4479706838138704E-2</v>
      </c>
      <c r="G76" s="1143" t="s">
        <v>379</v>
      </c>
      <c r="H76" s="1146">
        <v>7.1797833822051099E-2</v>
      </c>
      <c r="I76" s="1143" t="s">
        <v>379</v>
      </c>
      <c r="J76" s="1146">
        <v>6.8658605019640606E-2</v>
      </c>
      <c r="K76" s="1143" t="s">
        <v>379</v>
      </c>
      <c r="L76" s="1146">
        <v>6.9260591952656894E-2</v>
      </c>
      <c r="M76" s="1143" t="s">
        <v>380</v>
      </c>
      <c r="N76" s="1146">
        <v>7.3602718021877594E-2</v>
      </c>
      <c r="O76" s="1143" t="s">
        <v>380</v>
      </c>
      <c r="P76" s="1146">
        <v>7.3603017039788193E-2</v>
      </c>
      <c r="Q76" s="1143" t="s">
        <v>380</v>
      </c>
      <c r="R76" s="1146">
        <v>0.10599015550218861</v>
      </c>
      <c r="S76" s="1143" t="s">
        <v>380</v>
      </c>
      <c r="T76" s="1146">
        <v>0.11899999999999999</v>
      </c>
      <c r="U76" s="1087" t="s">
        <v>407</v>
      </c>
      <c r="V76" s="1153">
        <v>0.13078514323763568</v>
      </c>
      <c r="W76" s="1086" t="s">
        <v>380</v>
      </c>
      <c r="X76" s="1159">
        <v>0.151</v>
      </c>
      <c r="Y76" s="1113">
        <f t="shared" si="0"/>
        <v>31</v>
      </c>
      <c r="Z76" s="834"/>
      <c r="AA76" s="834"/>
      <c r="AB76" s="834"/>
      <c r="AC76" s="834"/>
      <c r="AD76" s="834"/>
      <c r="AE76" s="834"/>
      <c r="AF76" s="834"/>
      <c r="AG76" s="834"/>
      <c r="AH76" s="834"/>
      <c r="AI76" s="834"/>
      <c r="AJ76" s="834"/>
      <c r="AK76" s="834"/>
      <c r="AL76" s="834"/>
      <c r="AM76" s="834"/>
      <c r="AN76" s="834"/>
      <c r="AO76" s="834"/>
      <c r="AP76" s="834"/>
      <c r="AQ76" s="834"/>
      <c r="AR76" s="834"/>
      <c r="AS76" s="834"/>
      <c r="AT76" s="834"/>
      <c r="AU76" s="834"/>
      <c r="AV76" s="834"/>
      <c r="AW76" s="834"/>
      <c r="AX76" s="834"/>
      <c r="AY76" s="834"/>
      <c r="AZ76" s="834"/>
      <c r="BA76" s="834"/>
      <c r="BB76" s="834"/>
      <c r="BC76" s="834"/>
      <c r="BD76" s="834"/>
      <c r="BE76" s="834"/>
      <c r="BF76" s="834"/>
      <c r="BG76" s="834"/>
      <c r="BH76" s="834"/>
      <c r="BI76" s="834"/>
      <c r="BJ76" s="834"/>
      <c r="BK76" s="834"/>
      <c r="BL76" s="834"/>
      <c r="BM76" s="834"/>
      <c r="BN76" s="834"/>
      <c r="BO76" s="834"/>
      <c r="BP76" s="834"/>
      <c r="BQ76" s="834"/>
      <c r="BR76" s="834"/>
      <c r="BS76" s="834"/>
      <c r="BT76" s="834"/>
      <c r="BU76" s="834"/>
      <c r="BV76" s="834"/>
      <c r="BW76" s="834"/>
      <c r="BX76" s="834"/>
      <c r="BY76" s="834"/>
      <c r="BZ76" s="834"/>
      <c r="CA76" s="834"/>
      <c r="CB76" s="834"/>
      <c r="CC76" s="834"/>
      <c r="CD76" s="834"/>
      <c r="CE76" s="834"/>
      <c r="CF76" s="834"/>
      <c r="CG76" s="834"/>
      <c r="CH76" s="834"/>
      <c r="CI76" s="834"/>
      <c r="CJ76" s="834"/>
      <c r="CK76" s="834"/>
      <c r="CL76" s="834"/>
      <c r="CM76" s="834"/>
      <c r="CN76" s="834"/>
      <c r="CO76" s="834"/>
      <c r="CP76" s="834"/>
      <c r="CQ76" s="834"/>
      <c r="CR76" s="834"/>
      <c r="CS76" s="834"/>
      <c r="CT76" s="834"/>
      <c r="CU76" s="834"/>
      <c r="CV76" s="834"/>
      <c r="CW76" s="834"/>
      <c r="CX76" s="834"/>
      <c r="CY76" s="834"/>
      <c r="CZ76" s="834"/>
      <c r="DA76" s="834"/>
      <c r="DB76" s="834"/>
      <c r="DC76" s="834"/>
      <c r="DD76" s="839"/>
      <c r="DE76" s="1098"/>
      <c r="DF76" s="1098"/>
      <c r="DG76" s="1098"/>
      <c r="DH76" s="1098"/>
      <c r="DI76" s="1098"/>
      <c r="DJ76" s="1098"/>
      <c r="DK76" s="1098"/>
      <c r="DL76" s="1098"/>
      <c r="DM76" s="1098"/>
      <c r="DN76" s="1098"/>
      <c r="DO76" s="1098"/>
    </row>
    <row r="77" spans="1:119" s="1086" customFormat="1">
      <c r="A77" s="1089"/>
      <c r="B77" s="1148">
        <v>2</v>
      </c>
      <c r="C77" s="1090" t="s">
        <v>382</v>
      </c>
      <c r="D77" s="1149">
        <v>5.9387092570664497E-2</v>
      </c>
      <c r="E77" s="1089" t="s">
        <v>380</v>
      </c>
      <c r="F77" s="1150">
        <v>6.7048833072479594E-2</v>
      </c>
      <c r="G77" s="1089" t="s">
        <v>380</v>
      </c>
      <c r="H77" s="1150">
        <v>6.3043940269083804E-2</v>
      </c>
      <c r="I77" s="1089" t="s">
        <v>380</v>
      </c>
      <c r="J77" s="1150">
        <v>5.8037256692670798E-2</v>
      </c>
      <c r="K77" s="1089" t="s">
        <v>380</v>
      </c>
      <c r="L77" s="1150">
        <v>5.9842790751047099E-2</v>
      </c>
      <c r="M77" s="1089" t="s">
        <v>379</v>
      </c>
      <c r="N77" s="1150">
        <v>5.9977866129895002E-2</v>
      </c>
      <c r="O77" s="1089" t="s">
        <v>379</v>
      </c>
      <c r="P77" s="1150">
        <v>5.9978080397467097E-2</v>
      </c>
      <c r="Q77" s="1089" t="s">
        <v>382</v>
      </c>
      <c r="R77" s="1150">
        <v>7.0275407490674985E-2</v>
      </c>
      <c r="S77" s="1089" t="s">
        <v>382</v>
      </c>
      <c r="T77" s="1150">
        <v>6.8000000000000005E-2</v>
      </c>
      <c r="U77" s="1090" t="s">
        <v>391</v>
      </c>
      <c r="V77" s="1154">
        <v>7.3553710330071354E-2</v>
      </c>
      <c r="W77" s="1086" t="s">
        <v>382</v>
      </c>
      <c r="X77" s="1159">
        <v>7.8E-2</v>
      </c>
      <c r="Y77" s="1113">
        <f t="shared" si="0"/>
        <v>32</v>
      </c>
      <c r="Z77" s="834"/>
      <c r="AA77" s="834"/>
      <c r="AB77" s="834"/>
      <c r="AC77" s="834"/>
      <c r="AD77" s="834"/>
      <c r="AE77" s="834"/>
      <c r="AF77" s="834"/>
      <c r="AG77" s="834"/>
      <c r="AH77" s="834"/>
      <c r="AI77" s="834"/>
      <c r="AJ77" s="834"/>
      <c r="AK77" s="834"/>
      <c r="AL77" s="834"/>
      <c r="AM77" s="834"/>
      <c r="AN77" s="834"/>
      <c r="AO77" s="834"/>
      <c r="AP77" s="834"/>
      <c r="AQ77" s="834"/>
      <c r="AR77" s="834"/>
      <c r="AS77" s="834"/>
      <c r="AT77" s="834"/>
      <c r="AU77" s="834"/>
      <c r="AV77" s="834"/>
      <c r="AW77" s="834"/>
      <c r="AX77" s="834"/>
      <c r="AY77" s="834"/>
      <c r="AZ77" s="834"/>
      <c r="BA77" s="834"/>
      <c r="BB77" s="834"/>
      <c r="BC77" s="834"/>
      <c r="BD77" s="834"/>
      <c r="BE77" s="834"/>
      <c r="BF77" s="834"/>
      <c r="BG77" s="834"/>
      <c r="BH77" s="834"/>
      <c r="BI77" s="834"/>
      <c r="BJ77" s="834"/>
      <c r="BK77" s="834"/>
      <c r="BL77" s="834"/>
      <c r="BM77" s="834"/>
      <c r="BN77" s="834"/>
      <c r="BO77" s="834"/>
      <c r="BP77" s="834"/>
      <c r="BQ77" s="834"/>
      <c r="BR77" s="834"/>
      <c r="BS77" s="834"/>
      <c r="BT77" s="834"/>
      <c r="BU77" s="834"/>
      <c r="BV77" s="834"/>
      <c r="BW77" s="834"/>
      <c r="BX77" s="834"/>
      <c r="BY77" s="834"/>
      <c r="BZ77" s="834"/>
      <c r="CA77" s="834"/>
      <c r="CB77" s="834"/>
      <c r="CC77" s="834"/>
      <c r="CD77" s="834"/>
      <c r="CE77" s="834"/>
      <c r="CF77" s="834"/>
      <c r="CG77" s="834"/>
      <c r="CH77" s="834"/>
      <c r="CI77" s="834"/>
      <c r="CJ77" s="834"/>
      <c r="CK77" s="834"/>
      <c r="CL77" s="834"/>
      <c r="CM77" s="834"/>
      <c r="CN77" s="834"/>
      <c r="CO77" s="834"/>
      <c r="CP77" s="834"/>
      <c r="CQ77" s="834"/>
      <c r="CR77" s="834"/>
      <c r="CS77" s="834"/>
      <c r="CT77" s="834"/>
      <c r="CU77" s="834"/>
      <c r="CV77" s="834"/>
      <c r="CW77" s="834"/>
      <c r="CX77" s="834"/>
      <c r="CY77" s="834"/>
      <c r="CZ77" s="834"/>
      <c r="DA77" s="834"/>
      <c r="DB77" s="834"/>
      <c r="DC77" s="834"/>
      <c r="DD77" s="839"/>
      <c r="DE77" s="1098"/>
      <c r="DF77" s="1098"/>
      <c r="DG77" s="1098"/>
      <c r="DH77" s="1098"/>
      <c r="DI77" s="1098"/>
      <c r="DJ77" s="1098"/>
      <c r="DK77" s="1098"/>
      <c r="DL77" s="1098"/>
      <c r="DM77" s="1098"/>
      <c r="DN77" s="1098"/>
      <c r="DO77" s="1098"/>
    </row>
    <row r="78" spans="1:119" s="1086" customFormat="1">
      <c r="A78" s="1089"/>
      <c r="B78" s="1148">
        <v>3</v>
      </c>
      <c r="C78" s="1090" t="s">
        <v>380</v>
      </c>
      <c r="D78" s="1149">
        <v>5.1419805895650497E-2</v>
      </c>
      <c r="E78" s="1089" t="s">
        <v>382</v>
      </c>
      <c r="F78" s="1150">
        <v>5.9639330454514E-2</v>
      </c>
      <c r="G78" s="1089" t="s">
        <v>382</v>
      </c>
      <c r="H78" s="1150">
        <v>5.9584887603605301E-2</v>
      </c>
      <c r="I78" s="1089" t="s">
        <v>382</v>
      </c>
      <c r="J78" s="1150">
        <v>5.5812418164013097E-2</v>
      </c>
      <c r="K78" s="1089" t="s">
        <v>382</v>
      </c>
      <c r="L78" s="1150">
        <v>5.5024261698482797E-2</v>
      </c>
      <c r="M78" s="1089" t="s">
        <v>382</v>
      </c>
      <c r="N78" s="1150">
        <v>5.6287198907348297E-2</v>
      </c>
      <c r="O78" s="1089" t="s">
        <v>382</v>
      </c>
      <c r="P78" s="1150">
        <v>5.6287471121824598E-2</v>
      </c>
      <c r="Q78" s="1089" t="s">
        <v>379</v>
      </c>
      <c r="R78" s="1150">
        <v>6.400422393677721E-2</v>
      </c>
      <c r="S78" s="1089" t="s">
        <v>379</v>
      </c>
      <c r="T78" s="1150">
        <v>6.400422393677721E-2</v>
      </c>
      <c r="U78" s="1090" t="s">
        <v>379</v>
      </c>
      <c r="V78" s="1154">
        <v>6.1839349258440486E-2</v>
      </c>
      <c r="W78" s="1086" t="s">
        <v>379</v>
      </c>
      <c r="X78" s="1159">
        <v>6.8000000000000005E-2</v>
      </c>
      <c r="Y78" s="1113">
        <f t="shared" si="0"/>
        <v>33</v>
      </c>
      <c r="Z78" s="834"/>
      <c r="AA78" s="834"/>
      <c r="AB78" s="834"/>
      <c r="AC78" s="834"/>
      <c r="AD78" s="834"/>
      <c r="AE78" s="834"/>
      <c r="AF78" s="834"/>
      <c r="AG78" s="834"/>
      <c r="AH78" s="834"/>
      <c r="AI78" s="834"/>
      <c r="AJ78" s="834"/>
      <c r="AK78" s="834"/>
      <c r="AL78" s="834"/>
      <c r="AM78" s="834"/>
      <c r="AN78" s="834"/>
      <c r="AO78" s="834"/>
      <c r="AP78" s="834"/>
      <c r="AQ78" s="834"/>
      <c r="AR78" s="834"/>
      <c r="AS78" s="834"/>
      <c r="AT78" s="834"/>
      <c r="AU78" s="834"/>
      <c r="AV78" s="834"/>
      <c r="AW78" s="834"/>
      <c r="AX78" s="834"/>
      <c r="AY78" s="834"/>
      <c r="AZ78" s="834"/>
      <c r="BA78" s="834"/>
      <c r="BB78" s="834"/>
      <c r="BC78" s="834"/>
      <c r="BD78" s="834"/>
      <c r="BE78" s="834"/>
      <c r="BF78" s="834"/>
      <c r="BG78" s="834"/>
      <c r="BH78" s="834"/>
      <c r="BI78" s="834"/>
      <c r="BJ78" s="834"/>
      <c r="BK78" s="834"/>
      <c r="BL78" s="834"/>
      <c r="BM78" s="834"/>
      <c r="BN78" s="834"/>
      <c r="BO78" s="834"/>
      <c r="BP78" s="834"/>
      <c r="BQ78" s="834"/>
      <c r="BR78" s="834"/>
      <c r="BS78" s="834"/>
      <c r="BT78" s="834"/>
      <c r="BU78" s="834"/>
      <c r="BV78" s="834"/>
      <c r="BW78" s="834"/>
      <c r="BX78" s="834"/>
      <c r="BY78" s="834"/>
      <c r="BZ78" s="834"/>
      <c r="CA78" s="834"/>
      <c r="CB78" s="834"/>
      <c r="CC78" s="834"/>
      <c r="CD78" s="834"/>
      <c r="CE78" s="834"/>
      <c r="CF78" s="834"/>
      <c r="CG78" s="834"/>
      <c r="CH78" s="834"/>
      <c r="CI78" s="834"/>
      <c r="CJ78" s="834"/>
      <c r="CK78" s="834"/>
      <c r="CL78" s="834"/>
      <c r="CM78" s="834"/>
      <c r="CN78" s="834"/>
      <c r="CO78" s="834"/>
      <c r="CP78" s="834"/>
      <c r="CQ78" s="834"/>
      <c r="CR78" s="834"/>
      <c r="CS78" s="834"/>
      <c r="CT78" s="834"/>
      <c r="CU78" s="834"/>
      <c r="CV78" s="834"/>
      <c r="CW78" s="834"/>
      <c r="CX78" s="834"/>
      <c r="CY78" s="834"/>
      <c r="CZ78" s="834"/>
      <c r="DA78" s="834"/>
      <c r="DB78" s="834"/>
      <c r="DC78" s="834"/>
      <c r="DD78" s="839"/>
      <c r="DE78" s="1098"/>
      <c r="DF78" s="1098"/>
      <c r="DG78" s="1098"/>
      <c r="DH78" s="1098"/>
      <c r="DI78" s="1098"/>
      <c r="DJ78" s="1098"/>
      <c r="DK78" s="1098"/>
      <c r="DL78" s="1098"/>
      <c r="DM78" s="1098"/>
      <c r="DN78" s="1098"/>
      <c r="DO78" s="1098"/>
    </row>
    <row r="79" spans="1:119" s="1086" customFormat="1">
      <c r="A79" s="1089"/>
      <c r="B79" s="1148">
        <v>4</v>
      </c>
      <c r="C79" s="1090" t="s">
        <v>378</v>
      </c>
      <c r="D79" s="1149">
        <v>4.4757029625558803E-2</v>
      </c>
      <c r="E79" s="1089" t="s">
        <v>378</v>
      </c>
      <c r="F79" s="1150">
        <v>4.3125718919122799E-2</v>
      </c>
      <c r="G79" s="1089" t="s">
        <v>396</v>
      </c>
      <c r="H79" s="1150">
        <v>5.32717579367201E-2</v>
      </c>
      <c r="I79" s="1089" t="s">
        <v>385</v>
      </c>
      <c r="J79" s="1150">
        <v>4.8909036893588498E-2</v>
      </c>
      <c r="K79" s="1089" t="s">
        <v>397</v>
      </c>
      <c r="L79" s="1150">
        <v>4.5906658032999197E-2</v>
      </c>
      <c r="M79" s="1089" t="s">
        <v>398</v>
      </c>
      <c r="N79" s="1150">
        <v>5.4294571556167397E-2</v>
      </c>
      <c r="O79" s="1089" t="s">
        <v>398</v>
      </c>
      <c r="P79" s="1150">
        <v>5.4294495108826397E-2</v>
      </c>
      <c r="Q79" s="1089" t="s">
        <v>395</v>
      </c>
      <c r="R79" s="1150">
        <v>4.4909985863437397E-2</v>
      </c>
      <c r="S79" s="1089" t="s">
        <v>395</v>
      </c>
      <c r="T79" s="1150">
        <v>0.05</v>
      </c>
      <c r="U79" s="1090" t="s">
        <v>386</v>
      </c>
      <c r="V79" s="1154">
        <v>4.7389887167817717E-2</v>
      </c>
      <c r="W79" s="1086" t="s">
        <v>378</v>
      </c>
      <c r="X79" s="1159">
        <v>4.7E-2</v>
      </c>
      <c r="Y79" s="1113">
        <f t="shared" ref="Y79:Y95" si="1">Y78+1</f>
        <v>34</v>
      </c>
      <c r="Z79" s="834"/>
      <c r="AA79" s="834"/>
      <c r="AB79" s="834"/>
      <c r="AC79" s="834"/>
      <c r="AD79" s="834"/>
      <c r="AE79" s="834"/>
      <c r="AF79" s="834"/>
      <c r="AG79" s="834"/>
      <c r="AH79" s="834"/>
      <c r="AI79" s="834"/>
      <c r="AJ79" s="834"/>
      <c r="AK79" s="834"/>
      <c r="AL79" s="834"/>
      <c r="AM79" s="834"/>
      <c r="AN79" s="834"/>
      <c r="AO79" s="834"/>
      <c r="AP79" s="834"/>
      <c r="AQ79" s="834"/>
      <c r="AR79" s="834"/>
      <c r="AS79" s="834"/>
      <c r="AT79" s="834"/>
      <c r="AU79" s="834"/>
      <c r="AV79" s="834"/>
      <c r="AW79" s="834"/>
      <c r="AX79" s="834"/>
      <c r="AY79" s="834"/>
      <c r="AZ79" s="834"/>
      <c r="BA79" s="834"/>
      <c r="BB79" s="834"/>
      <c r="BC79" s="834"/>
      <c r="BD79" s="834"/>
      <c r="BE79" s="834"/>
      <c r="BF79" s="834"/>
      <c r="BG79" s="834"/>
      <c r="BH79" s="834"/>
      <c r="BI79" s="834"/>
      <c r="BJ79" s="834"/>
      <c r="BK79" s="834"/>
      <c r="BL79" s="834"/>
      <c r="BM79" s="834"/>
      <c r="BN79" s="834"/>
      <c r="BO79" s="834"/>
      <c r="BP79" s="834"/>
      <c r="BQ79" s="834"/>
      <c r="BR79" s="834"/>
      <c r="BS79" s="834"/>
      <c r="BT79" s="834"/>
      <c r="BU79" s="834"/>
      <c r="BV79" s="834"/>
      <c r="BW79" s="834"/>
      <c r="BX79" s="834"/>
      <c r="BY79" s="834"/>
      <c r="BZ79" s="834"/>
      <c r="CA79" s="834"/>
      <c r="CB79" s="834"/>
      <c r="CC79" s="834"/>
      <c r="CD79" s="834"/>
      <c r="CE79" s="834"/>
      <c r="CF79" s="834"/>
      <c r="CG79" s="834"/>
      <c r="CH79" s="834"/>
      <c r="CI79" s="834"/>
      <c r="CJ79" s="834"/>
      <c r="CK79" s="834"/>
      <c r="CL79" s="834"/>
      <c r="CM79" s="834"/>
      <c r="CN79" s="834"/>
      <c r="CO79" s="834"/>
      <c r="CP79" s="834"/>
      <c r="CQ79" s="834"/>
      <c r="CR79" s="834"/>
      <c r="CS79" s="834"/>
      <c r="CT79" s="834"/>
      <c r="CU79" s="834"/>
      <c r="CV79" s="834"/>
      <c r="CW79" s="834"/>
      <c r="CX79" s="834"/>
      <c r="CY79" s="834"/>
      <c r="CZ79" s="834"/>
      <c r="DA79" s="834"/>
      <c r="DB79" s="834"/>
      <c r="DC79" s="834"/>
      <c r="DD79" s="839"/>
      <c r="DE79" s="1098"/>
      <c r="DF79" s="1098"/>
      <c r="DG79" s="1098"/>
      <c r="DH79" s="1098"/>
      <c r="DI79" s="1098"/>
      <c r="DJ79" s="1098"/>
      <c r="DK79" s="1098"/>
      <c r="DL79" s="1098"/>
      <c r="DM79" s="1098"/>
      <c r="DN79" s="1098"/>
      <c r="DO79" s="1098"/>
    </row>
    <row r="80" spans="1:119" s="1086" customFormat="1">
      <c r="A80" s="1089"/>
      <c r="B80" s="1148">
        <v>5</v>
      </c>
      <c r="C80" s="1090" t="s">
        <v>397</v>
      </c>
      <c r="D80" s="1149">
        <v>4.3340623105556302E-2</v>
      </c>
      <c r="E80" s="1089" t="s">
        <v>397</v>
      </c>
      <c r="F80" s="1150">
        <v>4.2899436178838797E-2</v>
      </c>
      <c r="G80" s="1089" t="s">
        <v>385</v>
      </c>
      <c r="H80" s="1150">
        <v>4.4616955225281703E-2</v>
      </c>
      <c r="I80" s="1089" t="s">
        <v>396</v>
      </c>
      <c r="J80" s="1150">
        <v>4.8496418472101503E-2</v>
      </c>
      <c r="K80" s="1089" t="s">
        <v>396</v>
      </c>
      <c r="L80" s="1150">
        <v>4.4985574125226399E-2</v>
      </c>
      <c r="M80" s="1089" t="s">
        <v>387</v>
      </c>
      <c r="N80" s="1150">
        <v>5.0985348072840601E-2</v>
      </c>
      <c r="O80" s="1089" t="s">
        <v>387</v>
      </c>
      <c r="P80" s="1150">
        <v>5.0985402860829303E-2</v>
      </c>
      <c r="Q80" s="1089" t="s">
        <v>397</v>
      </c>
      <c r="R80" s="1150">
        <v>4.4874559296918907E-2</v>
      </c>
      <c r="S80" s="1089" t="s">
        <v>397</v>
      </c>
      <c r="T80" s="1150">
        <v>4.4874559296918907E-2</v>
      </c>
      <c r="U80" s="1090" t="s">
        <v>400</v>
      </c>
      <c r="V80" s="1154">
        <v>4.6006894579397918E-2</v>
      </c>
      <c r="W80" s="1086" t="s">
        <v>397</v>
      </c>
      <c r="X80" s="1159">
        <v>4.1000000000000002E-2</v>
      </c>
      <c r="Y80" s="1113">
        <f t="shared" si="1"/>
        <v>35</v>
      </c>
      <c r="Z80" s="834"/>
      <c r="AA80" s="834"/>
      <c r="AB80" s="834"/>
      <c r="AC80" s="834"/>
      <c r="AD80" s="834"/>
      <c r="AE80" s="834"/>
      <c r="AF80" s="834"/>
      <c r="AG80" s="834"/>
      <c r="AH80" s="834"/>
      <c r="AI80" s="834"/>
      <c r="AJ80" s="834"/>
      <c r="AK80" s="834"/>
      <c r="AL80" s="834"/>
      <c r="AM80" s="834"/>
      <c r="AN80" s="834"/>
      <c r="AO80" s="834"/>
      <c r="AP80" s="834"/>
      <c r="AQ80" s="834"/>
      <c r="AR80" s="834"/>
      <c r="AS80" s="834"/>
      <c r="AT80" s="834"/>
      <c r="AU80" s="834"/>
      <c r="AV80" s="834"/>
      <c r="AW80" s="834"/>
      <c r="AX80" s="834"/>
      <c r="AY80" s="834"/>
      <c r="AZ80" s="834"/>
      <c r="BA80" s="834"/>
      <c r="BB80" s="834"/>
      <c r="BC80" s="834"/>
      <c r="BD80" s="834"/>
      <c r="BE80" s="834"/>
      <c r="BF80" s="834"/>
      <c r="BG80" s="834"/>
      <c r="BH80" s="834"/>
      <c r="BI80" s="834"/>
      <c r="BJ80" s="834"/>
      <c r="BK80" s="834"/>
      <c r="BL80" s="834"/>
      <c r="BM80" s="834"/>
      <c r="BN80" s="834"/>
      <c r="BO80" s="834"/>
      <c r="BP80" s="834"/>
      <c r="BQ80" s="834"/>
      <c r="BR80" s="834"/>
      <c r="BS80" s="834"/>
      <c r="BT80" s="834"/>
      <c r="BU80" s="834"/>
      <c r="BV80" s="834"/>
      <c r="BW80" s="834"/>
      <c r="BX80" s="834"/>
      <c r="BY80" s="834"/>
      <c r="BZ80" s="834"/>
      <c r="CA80" s="834"/>
      <c r="CB80" s="834"/>
      <c r="CC80" s="834"/>
      <c r="CD80" s="834"/>
      <c r="CE80" s="834"/>
      <c r="CF80" s="834"/>
      <c r="CG80" s="834"/>
      <c r="CH80" s="834"/>
      <c r="CI80" s="834"/>
      <c r="CJ80" s="834"/>
      <c r="CK80" s="834"/>
      <c r="CL80" s="834"/>
      <c r="CM80" s="834"/>
      <c r="CN80" s="834"/>
      <c r="CO80" s="834"/>
      <c r="CP80" s="834"/>
      <c r="CQ80" s="834"/>
      <c r="CR80" s="834"/>
      <c r="CS80" s="834"/>
      <c r="CT80" s="834"/>
      <c r="CU80" s="834"/>
      <c r="CV80" s="834"/>
      <c r="CW80" s="834"/>
      <c r="CX80" s="834"/>
      <c r="CY80" s="834"/>
      <c r="CZ80" s="834"/>
      <c r="DA80" s="834"/>
      <c r="DB80" s="834"/>
      <c r="DC80" s="834"/>
      <c r="DD80" s="839"/>
      <c r="DE80" s="1098"/>
      <c r="DF80" s="1098"/>
      <c r="DG80" s="1098"/>
      <c r="DH80" s="1098"/>
      <c r="DI80" s="1098"/>
      <c r="DJ80" s="1098"/>
      <c r="DK80" s="1098"/>
      <c r="DL80" s="1098"/>
      <c r="DM80" s="1098"/>
      <c r="DN80" s="1098"/>
      <c r="DO80" s="1098"/>
    </row>
    <row r="81" spans="1:119" s="1086" customFormat="1">
      <c r="A81" s="1089"/>
      <c r="B81" s="1148">
        <v>6</v>
      </c>
      <c r="C81" s="1090" t="s">
        <v>399</v>
      </c>
      <c r="D81" s="1149">
        <v>4.0350588941831002E-2</v>
      </c>
      <c r="E81" s="1089" t="s">
        <v>400</v>
      </c>
      <c r="F81" s="1150">
        <v>4.05624383222392E-2</v>
      </c>
      <c r="G81" s="1089" t="s">
        <v>400</v>
      </c>
      <c r="H81" s="1150">
        <v>4.3212733694667202E-2</v>
      </c>
      <c r="I81" s="1089" t="s">
        <v>397</v>
      </c>
      <c r="J81" s="1150">
        <v>4.5594885732205097E-2</v>
      </c>
      <c r="K81" s="1089" t="s">
        <v>387</v>
      </c>
      <c r="L81" s="1150">
        <v>4.46802537642517E-2</v>
      </c>
      <c r="M81" s="1089" t="s">
        <v>397</v>
      </c>
      <c r="N81" s="1150">
        <v>4.3567099717500002E-2</v>
      </c>
      <c r="O81" s="1089" t="s">
        <v>397</v>
      </c>
      <c r="P81" s="1150">
        <v>4.3567364391065101E-2</v>
      </c>
      <c r="Q81" s="1089" t="s">
        <v>387</v>
      </c>
      <c r="R81" s="1150">
        <v>4.2710813618789707E-2</v>
      </c>
      <c r="S81" s="1089" t="s">
        <v>387</v>
      </c>
      <c r="T81" s="1150">
        <v>4.2000000000000003E-2</v>
      </c>
      <c r="U81" s="1090" t="s">
        <v>378</v>
      </c>
      <c r="V81" s="1154">
        <v>4.1084577501632226E-2</v>
      </c>
      <c r="W81" s="1086" t="s">
        <v>395</v>
      </c>
      <c r="X81" s="1159">
        <v>4.1000000000000002E-2</v>
      </c>
      <c r="Y81" s="1113">
        <f t="shared" si="1"/>
        <v>36</v>
      </c>
      <c r="Z81" s="834"/>
      <c r="AA81" s="834"/>
      <c r="AB81" s="834"/>
      <c r="AC81" s="834"/>
      <c r="AD81" s="834"/>
      <c r="AE81" s="834"/>
      <c r="AF81" s="834"/>
      <c r="AG81" s="834"/>
      <c r="AH81" s="834"/>
      <c r="AI81" s="834"/>
      <c r="AJ81" s="834"/>
      <c r="AK81" s="834"/>
      <c r="AL81" s="834"/>
      <c r="AM81" s="834"/>
      <c r="AN81" s="834"/>
      <c r="AO81" s="834"/>
      <c r="AP81" s="834"/>
      <c r="AQ81" s="834"/>
      <c r="AR81" s="834"/>
      <c r="AS81" s="834"/>
      <c r="AT81" s="834"/>
      <c r="AU81" s="834"/>
      <c r="AV81" s="834"/>
      <c r="AW81" s="834"/>
      <c r="AX81" s="834"/>
      <c r="AY81" s="834"/>
      <c r="AZ81" s="834"/>
      <c r="BA81" s="834"/>
      <c r="BB81" s="834"/>
      <c r="BC81" s="834"/>
      <c r="BD81" s="834"/>
      <c r="BE81" s="834"/>
      <c r="BF81" s="834"/>
      <c r="BG81" s="834"/>
      <c r="BH81" s="834"/>
      <c r="BI81" s="834"/>
      <c r="BJ81" s="834"/>
      <c r="BK81" s="834"/>
      <c r="BL81" s="834"/>
      <c r="BM81" s="834"/>
      <c r="BN81" s="834"/>
      <c r="BO81" s="834"/>
      <c r="BP81" s="834"/>
      <c r="BQ81" s="834"/>
      <c r="BR81" s="834"/>
      <c r="BS81" s="834"/>
      <c r="BT81" s="834"/>
      <c r="BU81" s="834"/>
      <c r="BV81" s="834"/>
      <c r="BW81" s="834"/>
      <c r="BX81" s="834"/>
      <c r="BY81" s="834"/>
      <c r="BZ81" s="834"/>
      <c r="CA81" s="834"/>
      <c r="CB81" s="834"/>
      <c r="CC81" s="834"/>
      <c r="CD81" s="834"/>
      <c r="CE81" s="834"/>
      <c r="CF81" s="834"/>
      <c r="CG81" s="834"/>
      <c r="CH81" s="834"/>
      <c r="CI81" s="834"/>
      <c r="CJ81" s="834"/>
      <c r="CK81" s="834"/>
      <c r="CL81" s="834"/>
      <c r="CM81" s="834"/>
      <c r="CN81" s="834"/>
      <c r="CO81" s="834"/>
      <c r="CP81" s="834"/>
      <c r="CQ81" s="834"/>
      <c r="CR81" s="834"/>
      <c r="CS81" s="834"/>
      <c r="CT81" s="834"/>
      <c r="CU81" s="834"/>
      <c r="CV81" s="834"/>
      <c r="CW81" s="834"/>
      <c r="CX81" s="834"/>
      <c r="CY81" s="834"/>
      <c r="CZ81" s="834"/>
      <c r="DA81" s="834"/>
      <c r="DB81" s="834"/>
      <c r="DC81" s="834"/>
      <c r="DD81" s="839"/>
      <c r="DE81" s="1098"/>
      <c r="DF81" s="1098"/>
      <c r="DG81" s="1098"/>
      <c r="DH81" s="1098"/>
      <c r="DI81" s="1098"/>
      <c r="DJ81" s="1098"/>
      <c r="DK81" s="1098"/>
      <c r="DL81" s="1098"/>
      <c r="DM81" s="1098"/>
      <c r="DN81" s="1098"/>
      <c r="DO81" s="1098"/>
    </row>
    <row r="82" spans="1:119" s="1086" customFormat="1">
      <c r="A82" s="1089"/>
      <c r="B82" s="1148">
        <v>7</v>
      </c>
      <c r="C82" s="1090" t="s">
        <v>395</v>
      </c>
      <c r="D82" s="1149">
        <v>4.00503107595905E-2</v>
      </c>
      <c r="E82" s="1089" t="s">
        <v>396</v>
      </c>
      <c r="F82" s="1150">
        <v>3.9740277699207398E-2</v>
      </c>
      <c r="G82" s="1089" t="s">
        <v>397</v>
      </c>
      <c r="H82" s="1150">
        <v>4.2427829923608801E-2</v>
      </c>
      <c r="I82" s="1089" t="s">
        <v>387</v>
      </c>
      <c r="J82" s="1150">
        <v>4.4388939625672599E-2</v>
      </c>
      <c r="K82" s="1089" t="s">
        <v>395</v>
      </c>
      <c r="L82" s="1150">
        <v>4.2603460570641703E-2</v>
      </c>
      <c r="M82" s="1089" t="s">
        <v>400</v>
      </c>
      <c r="N82" s="1150">
        <v>4.1486892304752603E-2</v>
      </c>
      <c r="O82" s="1089" t="s">
        <v>400</v>
      </c>
      <c r="P82" s="1150">
        <v>4.1486647295733703E-2</v>
      </c>
      <c r="Q82" s="1089" t="s">
        <v>378</v>
      </c>
      <c r="R82" s="1150">
        <v>3.9655953536695453E-2</v>
      </c>
      <c r="S82" s="1089" t="s">
        <v>401</v>
      </c>
      <c r="T82" s="1150">
        <v>4.2000000000000003E-2</v>
      </c>
      <c r="U82" s="1090" t="s">
        <v>376</v>
      </c>
      <c r="V82" s="1154">
        <v>4.0812796912572509E-2</v>
      </c>
      <c r="W82" s="1086" t="s">
        <v>401</v>
      </c>
      <c r="X82" s="1159">
        <v>3.5000000000000003E-2</v>
      </c>
      <c r="Y82" s="1113">
        <f t="shared" si="1"/>
        <v>37</v>
      </c>
      <c r="Z82" s="834"/>
      <c r="AA82" s="834"/>
      <c r="AB82" s="834"/>
      <c r="AC82" s="834"/>
      <c r="AD82" s="834"/>
      <c r="AE82" s="834"/>
      <c r="AF82" s="834"/>
      <c r="AG82" s="834"/>
      <c r="AH82" s="834"/>
      <c r="AI82" s="834"/>
      <c r="AJ82" s="834"/>
      <c r="AK82" s="834"/>
      <c r="AL82" s="834"/>
      <c r="AM82" s="834"/>
      <c r="AN82" s="834"/>
      <c r="AO82" s="834"/>
      <c r="AP82" s="834"/>
      <c r="AQ82" s="834"/>
      <c r="AR82" s="834"/>
      <c r="AS82" s="834"/>
      <c r="AT82" s="834"/>
      <c r="AU82" s="834"/>
      <c r="AV82" s="834"/>
      <c r="AW82" s="834"/>
      <c r="AX82" s="834"/>
      <c r="AY82" s="834"/>
      <c r="AZ82" s="834"/>
      <c r="BA82" s="834"/>
      <c r="BB82" s="834"/>
      <c r="BC82" s="834"/>
      <c r="BD82" s="834"/>
      <c r="BE82" s="834"/>
      <c r="BF82" s="834"/>
      <c r="BG82" s="834"/>
      <c r="BH82" s="834"/>
      <c r="BI82" s="834"/>
      <c r="BJ82" s="834"/>
      <c r="BK82" s="834"/>
      <c r="BL82" s="834"/>
      <c r="BM82" s="834"/>
      <c r="BN82" s="834"/>
      <c r="BO82" s="834"/>
      <c r="BP82" s="834"/>
      <c r="BQ82" s="834"/>
      <c r="BR82" s="834"/>
      <c r="BS82" s="834"/>
      <c r="BT82" s="834"/>
      <c r="BU82" s="834"/>
      <c r="BV82" s="834"/>
      <c r="BW82" s="834"/>
      <c r="BX82" s="834"/>
      <c r="BY82" s="834"/>
      <c r="BZ82" s="834"/>
      <c r="CA82" s="834"/>
      <c r="CB82" s="834"/>
      <c r="CC82" s="834"/>
      <c r="CD82" s="834"/>
      <c r="CE82" s="834"/>
      <c r="CF82" s="834"/>
      <c r="CG82" s="834"/>
      <c r="CH82" s="834"/>
      <c r="CI82" s="834"/>
      <c r="CJ82" s="834"/>
      <c r="CK82" s="834"/>
      <c r="CL82" s="834"/>
      <c r="CM82" s="834"/>
      <c r="CN82" s="834"/>
      <c r="CO82" s="834"/>
      <c r="CP82" s="834"/>
      <c r="CQ82" s="834"/>
      <c r="CR82" s="834"/>
      <c r="CS82" s="834"/>
      <c r="CT82" s="834"/>
      <c r="CU82" s="834"/>
      <c r="CV82" s="834"/>
      <c r="CW82" s="834"/>
      <c r="CX82" s="834"/>
      <c r="CY82" s="834"/>
      <c r="CZ82" s="834"/>
      <c r="DA82" s="834"/>
      <c r="DB82" s="834"/>
      <c r="DC82" s="834"/>
      <c r="DD82" s="839"/>
      <c r="DE82" s="1098"/>
      <c r="DF82" s="1098"/>
      <c r="DG82" s="1098"/>
      <c r="DH82" s="1098"/>
      <c r="DI82" s="1098"/>
      <c r="DJ82" s="1098"/>
      <c r="DK82" s="1098"/>
      <c r="DL82" s="1098"/>
      <c r="DM82" s="1098"/>
      <c r="DN82" s="1098"/>
      <c r="DO82" s="1098"/>
    </row>
    <row r="83" spans="1:119" s="1086" customFormat="1">
      <c r="A83" s="1089"/>
      <c r="B83" s="1148">
        <v>8</v>
      </c>
      <c r="C83" s="1090" t="s">
        <v>385</v>
      </c>
      <c r="D83" s="1149">
        <v>3.9608391925349699E-2</v>
      </c>
      <c r="E83" s="1089" t="s">
        <v>395</v>
      </c>
      <c r="F83" s="1150">
        <v>3.8680520198877397E-2</v>
      </c>
      <c r="G83" s="1089" t="s">
        <v>387</v>
      </c>
      <c r="H83" s="1150">
        <v>4.2219217625653102E-2</v>
      </c>
      <c r="I83" s="1089" t="s">
        <v>400</v>
      </c>
      <c r="J83" s="1150">
        <v>4.3984023414719998E-2</v>
      </c>
      <c r="K83" s="1089" t="s">
        <v>402</v>
      </c>
      <c r="L83" s="1150">
        <v>3.9836110587444601E-2</v>
      </c>
      <c r="M83" s="1089" t="s">
        <v>396</v>
      </c>
      <c r="N83" s="1150">
        <v>3.9700548569658399E-2</v>
      </c>
      <c r="O83" s="1089" t="s">
        <v>396</v>
      </c>
      <c r="P83" s="1150">
        <v>3.9700489548235303E-2</v>
      </c>
      <c r="Q83" s="1089" t="s">
        <v>381</v>
      </c>
      <c r="R83" s="1150">
        <v>3.8587025020012607E-2</v>
      </c>
      <c r="S83" s="1089" t="s">
        <v>378</v>
      </c>
      <c r="T83" s="1150">
        <v>4.1000000000000002E-2</v>
      </c>
      <c r="U83" s="1090" t="s">
        <v>382</v>
      </c>
      <c r="V83" s="1154">
        <v>3.8591608280166258E-2</v>
      </c>
      <c r="W83" s="1086" t="s">
        <v>376</v>
      </c>
      <c r="X83" s="1159">
        <v>3.5000000000000003E-2</v>
      </c>
      <c r="Y83" s="1113">
        <f t="shared" si="1"/>
        <v>38</v>
      </c>
      <c r="Z83" s="834"/>
      <c r="AA83" s="834"/>
      <c r="AB83" s="834"/>
      <c r="AC83" s="834"/>
      <c r="AD83" s="834"/>
      <c r="AE83" s="834"/>
      <c r="AF83" s="834"/>
      <c r="AG83" s="834"/>
      <c r="AH83" s="834"/>
      <c r="AI83" s="834"/>
      <c r="AJ83" s="834"/>
      <c r="AK83" s="834"/>
      <c r="AL83" s="834"/>
      <c r="AM83" s="834"/>
      <c r="AN83" s="834"/>
      <c r="AO83" s="834"/>
      <c r="AP83" s="834"/>
      <c r="AQ83" s="834"/>
      <c r="AR83" s="834"/>
      <c r="AS83" s="834"/>
      <c r="AT83" s="834"/>
      <c r="AU83" s="834"/>
      <c r="AV83" s="834"/>
      <c r="AW83" s="834"/>
      <c r="AX83" s="834"/>
      <c r="AY83" s="834"/>
      <c r="AZ83" s="834"/>
      <c r="BA83" s="834"/>
      <c r="BB83" s="834"/>
      <c r="BC83" s="834"/>
      <c r="BD83" s="834"/>
      <c r="BE83" s="834"/>
      <c r="BF83" s="834"/>
      <c r="BG83" s="834"/>
      <c r="BH83" s="834"/>
      <c r="BI83" s="834"/>
      <c r="BJ83" s="834"/>
      <c r="BK83" s="834"/>
      <c r="BL83" s="834"/>
      <c r="BM83" s="834"/>
      <c r="BN83" s="834"/>
      <c r="BO83" s="834"/>
      <c r="BP83" s="834"/>
      <c r="BQ83" s="834"/>
      <c r="BR83" s="834"/>
      <c r="BS83" s="834"/>
      <c r="BT83" s="834"/>
      <c r="BU83" s="834"/>
      <c r="BV83" s="834"/>
      <c r="BW83" s="834"/>
      <c r="BX83" s="834"/>
      <c r="BY83" s="834"/>
      <c r="BZ83" s="834"/>
      <c r="CA83" s="834"/>
      <c r="CB83" s="834"/>
      <c r="CC83" s="834"/>
      <c r="CD83" s="834"/>
      <c r="CE83" s="834"/>
      <c r="CF83" s="834"/>
      <c r="CG83" s="834"/>
      <c r="CH83" s="834"/>
      <c r="CI83" s="834"/>
      <c r="CJ83" s="834"/>
      <c r="CK83" s="834"/>
      <c r="CL83" s="834"/>
      <c r="CM83" s="834"/>
      <c r="CN83" s="834"/>
      <c r="CO83" s="834"/>
      <c r="CP83" s="834"/>
      <c r="CQ83" s="834"/>
      <c r="CR83" s="834"/>
      <c r="CS83" s="834"/>
      <c r="CT83" s="834"/>
      <c r="CU83" s="834"/>
      <c r="CV83" s="834"/>
      <c r="CW83" s="834"/>
      <c r="CX83" s="834"/>
      <c r="CY83" s="834"/>
      <c r="CZ83" s="834"/>
      <c r="DA83" s="834"/>
      <c r="DB83" s="834"/>
      <c r="DC83" s="834"/>
      <c r="DD83" s="839"/>
      <c r="DE83" s="1098"/>
      <c r="DF83" s="1098"/>
      <c r="DG83" s="1098"/>
      <c r="DH83" s="1098"/>
      <c r="DI83" s="1098"/>
      <c r="DJ83" s="1098"/>
      <c r="DK83" s="1098"/>
      <c r="DL83" s="1098"/>
      <c r="DM83" s="1098"/>
      <c r="DN83" s="1098"/>
      <c r="DO83" s="1098"/>
    </row>
    <row r="84" spans="1:119" s="1086" customFormat="1">
      <c r="A84" s="1089"/>
      <c r="B84" s="1148">
        <v>9</v>
      </c>
      <c r="C84" s="1090" t="s">
        <v>400</v>
      </c>
      <c r="D84" s="1149">
        <v>3.8405862789867601E-2</v>
      </c>
      <c r="E84" s="1089" t="s">
        <v>387</v>
      </c>
      <c r="F84" s="1150">
        <v>3.8312182182748497E-2</v>
      </c>
      <c r="G84" s="1089" t="s">
        <v>378</v>
      </c>
      <c r="H84" s="1150">
        <v>4.1165725520976602E-2</v>
      </c>
      <c r="I84" s="1089" t="s">
        <v>395</v>
      </c>
      <c r="J84" s="1150">
        <v>3.8129243092767599E-2</v>
      </c>
      <c r="K84" s="1089" t="s">
        <v>378</v>
      </c>
      <c r="L84" s="1150">
        <v>3.8278771833479497E-2</v>
      </c>
      <c r="M84" s="1089" t="s">
        <v>378</v>
      </c>
      <c r="N84" s="1150">
        <v>3.86162929314205E-2</v>
      </c>
      <c r="O84" s="1089" t="s">
        <v>378</v>
      </c>
      <c r="P84" s="1150">
        <v>3.8616260459402897E-2</v>
      </c>
      <c r="Q84" s="1089" t="s">
        <v>401</v>
      </c>
      <c r="R84" s="1150">
        <v>3.8226627833699518E-2</v>
      </c>
      <c r="S84" s="1089" t="s">
        <v>393</v>
      </c>
      <c r="T84" s="1150">
        <v>3.7999999999999999E-2</v>
      </c>
      <c r="U84" s="1090" t="s">
        <v>385</v>
      </c>
      <c r="V84" s="1154">
        <v>3.8589137547538441E-2</v>
      </c>
      <c r="W84" s="1086" t="s">
        <v>381</v>
      </c>
      <c r="X84" s="1159">
        <v>3.3000000000000002E-2</v>
      </c>
      <c r="Y84" s="1113">
        <f t="shared" si="1"/>
        <v>39</v>
      </c>
      <c r="Z84" s="834"/>
      <c r="AA84" s="834"/>
      <c r="AB84" s="834"/>
      <c r="AC84" s="834"/>
      <c r="AD84" s="834"/>
      <c r="AE84" s="834"/>
      <c r="AF84" s="834"/>
      <c r="AG84" s="834"/>
      <c r="AH84" s="834"/>
      <c r="AI84" s="834"/>
      <c r="AJ84" s="834"/>
      <c r="AK84" s="834"/>
      <c r="AL84" s="834"/>
      <c r="AM84" s="834"/>
      <c r="AN84" s="834"/>
      <c r="AO84" s="834"/>
      <c r="AP84" s="834"/>
      <c r="AQ84" s="834"/>
      <c r="AR84" s="834"/>
      <c r="AS84" s="834"/>
      <c r="AT84" s="834"/>
      <c r="AU84" s="834"/>
      <c r="AV84" s="834"/>
      <c r="AW84" s="834"/>
      <c r="AX84" s="834"/>
      <c r="AY84" s="834"/>
      <c r="AZ84" s="834"/>
      <c r="BA84" s="834"/>
      <c r="BB84" s="834"/>
      <c r="BC84" s="834"/>
      <c r="BD84" s="834"/>
      <c r="BE84" s="834"/>
      <c r="BF84" s="834"/>
      <c r="BG84" s="834"/>
      <c r="BH84" s="834"/>
      <c r="BI84" s="834"/>
      <c r="BJ84" s="834"/>
      <c r="BK84" s="834"/>
      <c r="BL84" s="834"/>
      <c r="BM84" s="834"/>
      <c r="BN84" s="834"/>
      <c r="BO84" s="834"/>
      <c r="BP84" s="834"/>
      <c r="BQ84" s="834"/>
      <c r="BR84" s="834"/>
      <c r="BS84" s="834"/>
      <c r="BT84" s="834"/>
      <c r="BU84" s="834"/>
      <c r="BV84" s="834"/>
      <c r="BW84" s="834"/>
      <c r="BX84" s="834"/>
      <c r="BY84" s="834"/>
      <c r="BZ84" s="834"/>
      <c r="CA84" s="834"/>
      <c r="CB84" s="834"/>
      <c r="CC84" s="834"/>
      <c r="CD84" s="834"/>
      <c r="CE84" s="834"/>
      <c r="CF84" s="834"/>
      <c r="CG84" s="834"/>
      <c r="CH84" s="834"/>
      <c r="CI84" s="834"/>
      <c r="CJ84" s="834"/>
      <c r="CK84" s="834"/>
      <c r="CL84" s="834"/>
      <c r="CM84" s="834"/>
      <c r="CN84" s="834"/>
      <c r="CO84" s="834"/>
      <c r="CP84" s="834"/>
      <c r="CQ84" s="834"/>
      <c r="CR84" s="834"/>
      <c r="CS84" s="834"/>
      <c r="CT84" s="834"/>
      <c r="CU84" s="834"/>
      <c r="CV84" s="834"/>
      <c r="CW84" s="834"/>
      <c r="CX84" s="834"/>
      <c r="CY84" s="834"/>
      <c r="CZ84" s="834"/>
      <c r="DA84" s="834"/>
      <c r="DB84" s="834"/>
      <c r="DC84" s="834"/>
      <c r="DD84" s="839"/>
      <c r="DE84" s="1098"/>
      <c r="DF84" s="1098"/>
      <c r="DG84" s="1098"/>
      <c r="DH84" s="1098"/>
      <c r="DI84" s="1098"/>
      <c r="DJ84" s="1098"/>
      <c r="DK84" s="1098"/>
      <c r="DL84" s="1098"/>
      <c r="DM84" s="1098"/>
      <c r="DN84" s="1098"/>
      <c r="DO84" s="1098"/>
    </row>
    <row r="85" spans="1:119" s="1086" customFormat="1">
      <c r="A85" s="1089"/>
      <c r="B85" s="1148">
        <v>10</v>
      </c>
      <c r="C85" s="1090" t="s">
        <v>396</v>
      </c>
      <c r="D85" s="1149">
        <v>3.7230245378265497E-2</v>
      </c>
      <c r="E85" s="1089" t="s">
        <v>385</v>
      </c>
      <c r="F85" s="1150">
        <v>3.8002929104360303E-2</v>
      </c>
      <c r="G85" s="1089" t="s">
        <v>399</v>
      </c>
      <c r="H85" s="1150">
        <v>3.7277713817826699E-2</v>
      </c>
      <c r="I85" s="1089" t="s">
        <v>399</v>
      </c>
      <c r="J85" s="1150">
        <v>3.6419352354125599E-2</v>
      </c>
      <c r="K85" s="1089" t="s">
        <v>385</v>
      </c>
      <c r="L85" s="1150">
        <v>3.6663032876240703E-2</v>
      </c>
      <c r="M85" s="1089" t="s">
        <v>395</v>
      </c>
      <c r="N85" s="1150">
        <v>3.8428104369376499E-2</v>
      </c>
      <c r="O85" s="1089" t="s">
        <v>395</v>
      </c>
      <c r="P85" s="1150">
        <v>3.8428243854403098E-2</v>
      </c>
      <c r="Q85" s="1089" t="s">
        <v>393</v>
      </c>
      <c r="R85" s="1150">
        <v>3.5346856743821639E-2</v>
      </c>
      <c r="S85" s="1089" t="s">
        <v>381</v>
      </c>
      <c r="T85" s="1150">
        <v>3.5000000000000003E-2</v>
      </c>
      <c r="U85" s="1090" t="s">
        <v>387</v>
      </c>
      <c r="V85" s="1154">
        <v>3.4852772131124254E-2</v>
      </c>
      <c r="W85" s="1114" t="s">
        <v>394</v>
      </c>
      <c r="X85" s="1157">
        <v>3.3000000000000002E-2</v>
      </c>
      <c r="Y85" s="1113">
        <f t="shared" si="1"/>
        <v>40</v>
      </c>
      <c r="Z85" s="834"/>
      <c r="AA85" s="834"/>
      <c r="AB85" s="834"/>
      <c r="AC85" s="834"/>
      <c r="AD85" s="834"/>
      <c r="AE85" s="834"/>
      <c r="AF85" s="834"/>
      <c r="AG85" s="834"/>
      <c r="AH85" s="834"/>
      <c r="AI85" s="834"/>
      <c r="AJ85" s="834"/>
      <c r="AK85" s="834"/>
      <c r="AL85" s="834"/>
      <c r="AM85" s="834"/>
      <c r="AN85" s="834"/>
      <c r="AO85" s="834"/>
      <c r="AP85" s="834"/>
      <c r="AQ85" s="834"/>
      <c r="AR85" s="834"/>
      <c r="AS85" s="834"/>
      <c r="AT85" s="834"/>
      <c r="AU85" s="834"/>
      <c r="AV85" s="834"/>
      <c r="AW85" s="834"/>
      <c r="AX85" s="834"/>
      <c r="AY85" s="834"/>
      <c r="AZ85" s="834"/>
      <c r="BA85" s="834"/>
      <c r="BB85" s="834"/>
      <c r="BC85" s="834"/>
      <c r="BD85" s="834"/>
      <c r="BE85" s="834"/>
      <c r="BF85" s="834"/>
      <c r="BG85" s="834"/>
      <c r="BH85" s="834"/>
      <c r="BI85" s="834"/>
      <c r="BJ85" s="834"/>
      <c r="BK85" s="834"/>
      <c r="BL85" s="834"/>
      <c r="BM85" s="834"/>
      <c r="BN85" s="834"/>
      <c r="BO85" s="834"/>
      <c r="BP85" s="834"/>
      <c r="BQ85" s="834"/>
      <c r="BR85" s="834"/>
      <c r="BS85" s="834"/>
      <c r="BT85" s="834"/>
      <c r="BU85" s="834"/>
      <c r="BV85" s="834"/>
      <c r="BW85" s="834"/>
      <c r="BX85" s="834"/>
      <c r="BY85" s="834"/>
      <c r="BZ85" s="834"/>
      <c r="CA85" s="834"/>
      <c r="CB85" s="834"/>
      <c r="CC85" s="834"/>
      <c r="CD85" s="834"/>
      <c r="CE85" s="834"/>
      <c r="CF85" s="834"/>
      <c r="CG85" s="834"/>
      <c r="CH85" s="834"/>
      <c r="CI85" s="834"/>
      <c r="CJ85" s="834"/>
      <c r="CK85" s="834"/>
      <c r="CL85" s="834"/>
      <c r="CM85" s="834"/>
      <c r="CN85" s="834"/>
      <c r="CO85" s="834"/>
      <c r="CP85" s="834"/>
      <c r="CQ85" s="834"/>
      <c r="CR85" s="834"/>
      <c r="CS85" s="834"/>
      <c r="CT85" s="834"/>
      <c r="CU85" s="834"/>
      <c r="CV85" s="834"/>
      <c r="CW85" s="834"/>
      <c r="CX85" s="834"/>
      <c r="CY85" s="834"/>
      <c r="CZ85" s="834"/>
      <c r="DA85" s="834"/>
      <c r="DB85" s="834"/>
      <c r="DC85" s="834"/>
      <c r="DD85" s="839"/>
      <c r="DE85" s="1098"/>
      <c r="DF85" s="1098"/>
      <c r="DG85" s="1098"/>
      <c r="DH85" s="1098"/>
      <c r="DI85" s="1098"/>
      <c r="DJ85" s="1098"/>
      <c r="DK85" s="1098"/>
      <c r="DL85" s="1098"/>
      <c r="DM85" s="1098"/>
      <c r="DN85" s="1098"/>
      <c r="DO85" s="1098"/>
    </row>
    <row r="86" spans="1:119" s="1086" customFormat="1">
      <c r="A86" s="1143" t="s">
        <v>44</v>
      </c>
      <c r="B86" s="1144">
        <v>1</v>
      </c>
      <c r="C86" s="1087" t="s">
        <v>380</v>
      </c>
      <c r="D86" s="1145">
        <v>0.182</v>
      </c>
      <c r="E86" s="1143" t="s">
        <v>380</v>
      </c>
      <c r="F86" s="1146">
        <v>0.168944869041847</v>
      </c>
      <c r="G86" s="1143" t="s">
        <v>380</v>
      </c>
      <c r="H86" s="1146">
        <v>0.15648066970219701</v>
      </c>
      <c r="I86" s="1143" t="s">
        <v>380</v>
      </c>
      <c r="J86" s="1146">
        <v>0.156326099247276</v>
      </c>
      <c r="K86" s="1143" t="s">
        <v>380</v>
      </c>
      <c r="L86" s="1146">
        <v>0.153</v>
      </c>
      <c r="M86" s="1143" t="s">
        <v>380</v>
      </c>
      <c r="N86" s="1146">
        <v>0.14832902982751001</v>
      </c>
      <c r="O86" s="1143" t="s">
        <v>380</v>
      </c>
      <c r="P86" s="1146">
        <v>0.14863644475208301</v>
      </c>
      <c r="Q86" s="1143" t="s">
        <v>380</v>
      </c>
      <c r="R86" s="1146">
        <v>0.15011079736544694</v>
      </c>
      <c r="S86" s="1143" t="s">
        <v>380</v>
      </c>
      <c r="T86" s="1146">
        <v>0.14799999999999999</v>
      </c>
      <c r="U86" s="1147" t="s">
        <v>380</v>
      </c>
      <c r="V86" s="1153">
        <v>0.14402155702984196</v>
      </c>
      <c r="W86" s="1086" t="s">
        <v>380</v>
      </c>
      <c r="X86" s="1159">
        <v>0.15</v>
      </c>
      <c r="Y86" s="1113">
        <f t="shared" si="1"/>
        <v>41</v>
      </c>
      <c r="Z86" s="834"/>
      <c r="AA86" s="834"/>
      <c r="AB86" s="834"/>
      <c r="AC86" s="834"/>
      <c r="AD86" s="834"/>
      <c r="AE86" s="834"/>
      <c r="AF86" s="834"/>
      <c r="AG86" s="834"/>
      <c r="AH86" s="834"/>
      <c r="AI86" s="834"/>
      <c r="AJ86" s="834"/>
      <c r="AK86" s="834"/>
      <c r="AL86" s="834"/>
      <c r="AM86" s="834"/>
      <c r="AN86" s="834"/>
      <c r="AO86" s="834"/>
      <c r="AP86" s="834"/>
      <c r="AQ86" s="834"/>
      <c r="AR86" s="834"/>
      <c r="AS86" s="834"/>
      <c r="AT86" s="834"/>
      <c r="AU86" s="834"/>
      <c r="AV86" s="834"/>
      <c r="AW86" s="834"/>
      <c r="AX86" s="834"/>
      <c r="AY86" s="834"/>
      <c r="AZ86" s="834"/>
      <c r="BA86" s="834"/>
      <c r="BB86" s="834"/>
      <c r="BC86" s="834"/>
      <c r="BD86" s="834"/>
      <c r="BE86" s="834"/>
      <c r="BF86" s="834"/>
      <c r="BG86" s="834"/>
      <c r="BH86" s="834"/>
      <c r="BI86" s="834"/>
      <c r="BJ86" s="834"/>
      <c r="BK86" s="834"/>
      <c r="BL86" s="834"/>
      <c r="BM86" s="834"/>
      <c r="BN86" s="834"/>
      <c r="BO86" s="834"/>
      <c r="BP86" s="834"/>
      <c r="BQ86" s="834"/>
      <c r="BR86" s="834"/>
      <c r="BS86" s="834"/>
      <c r="BT86" s="834"/>
      <c r="BU86" s="834"/>
      <c r="BV86" s="834"/>
      <c r="BW86" s="834"/>
      <c r="BX86" s="834"/>
      <c r="BY86" s="834"/>
      <c r="BZ86" s="834"/>
      <c r="CA86" s="834"/>
      <c r="CB86" s="834"/>
      <c r="CC86" s="834"/>
      <c r="CD86" s="834"/>
      <c r="CE86" s="834"/>
      <c r="CF86" s="834"/>
      <c r="CG86" s="834"/>
      <c r="CH86" s="834"/>
      <c r="CI86" s="834"/>
      <c r="CJ86" s="834"/>
      <c r="CK86" s="834"/>
      <c r="CL86" s="834"/>
      <c r="CM86" s="834"/>
      <c r="CN86" s="834"/>
      <c r="CO86" s="834"/>
      <c r="CP86" s="834"/>
      <c r="CQ86" s="834"/>
      <c r="CR86" s="834"/>
      <c r="CS86" s="834"/>
      <c r="CT86" s="834"/>
      <c r="CU86" s="834"/>
      <c r="CV86" s="834"/>
      <c r="CW86" s="834"/>
      <c r="CX86" s="834"/>
      <c r="CY86" s="834"/>
      <c r="CZ86" s="834"/>
      <c r="DA86" s="834"/>
      <c r="DB86" s="834"/>
      <c r="DC86" s="834"/>
      <c r="DD86" s="839"/>
      <c r="DE86" s="1098"/>
      <c r="DF86" s="1098"/>
      <c r="DG86" s="1098"/>
      <c r="DH86" s="1098"/>
      <c r="DI86" s="1098"/>
      <c r="DJ86" s="1098"/>
      <c r="DK86" s="1098"/>
      <c r="DL86" s="1098"/>
      <c r="DM86" s="1098"/>
      <c r="DN86" s="1098"/>
      <c r="DO86" s="1098"/>
    </row>
    <row r="87" spans="1:119" s="1086" customFormat="1">
      <c r="A87" s="1089"/>
      <c r="B87" s="1148">
        <v>2</v>
      </c>
      <c r="C87" s="1090" t="s">
        <v>376</v>
      </c>
      <c r="D87" s="1149">
        <v>6.3081224221706103E-2</v>
      </c>
      <c r="E87" s="1089" t="s">
        <v>378</v>
      </c>
      <c r="F87" s="1150">
        <v>7.9390734797232299E-2</v>
      </c>
      <c r="G87" s="1089" t="s">
        <v>378</v>
      </c>
      <c r="H87" s="1150">
        <v>8.3742823609264994E-2</v>
      </c>
      <c r="I87" s="1089" t="s">
        <v>378</v>
      </c>
      <c r="J87" s="1150">
        <v>9.2701123728368903E-2</v>
      </c>
      <c r="K87" s="1089" t="s">
        <v>378</v>
      </c>
      <c r="L87" s="1150">
        <v>9.7000000000000003E-2</v>
      </c>
      <c r="M87" s="1089" t="s">
        <v>378</v>
      </c>
      <c r="N87" s="1150">
        <v>9.3463201154635495E-2</v>
      </c>
      <c r="O87" s="1089" t="s">
        <v>378</v>
      </c>
      <c r="P87" s="1150">
        <v>9.2592692735456394E-2</v>
      </c>
      <c r="Q87" s="1089" t="s">
        <v>378</v>
      </c>
      <c r="R87" s="1150">
        <v>9.4529444101107293E-2</v>
      </c>
      <c r="S87" s="1089" t="s">
        <v>378</v>
      </c>
      <c r="T87" s="1150">
        <v>9.4E-2</v>
      </c>
      <c r="U87" s="1090" t="s">
        <v>378</v>
      </c>
      <c r="V87" s="1154">
        <v>9.719532883993412E-2</v>
      </c>
      <c r="W87" s="1086" t="s">
        <v>378</v>
      </c>
      <c r="X87" s="1159">
        <v>9.6000000000000002E-2</v>
      </c>
      <c r="Y87" s="1113">
        <f t="shared" si="1"/>
        <v>42</v>
      </c>
      <c r="Z87" s="834"/>
      <c r="AA87" s="834"/>
      <c r="AB87" s="834"/>
      <c r="AC87" s="834"/>
      <c r="AD87" s="834"/>
      <c r="AE87" s="834"/>
      <c r="AF87" s="834"/>
      <c r="AG87" s="834"/>
      <c r="AH87" s="834"/>
      <c r="AI87" s="834"/>
      <c r="AJ87" s="834"/>
      <c r="AK87" s="834"/>
      <c r="AL87" s="834"/>
      <c r="AM87" s="834"/>
      <c r="AN87" s="834"/>
      <c r="AO87" s="834"/>
      <c r="AP87" s="834"/>
      <c r="AQ87" s="834"/>
      <c r="AR87" s="834"/>
      <c r="AS87" s="834"/>
      <c r="AT87" s="834"/>
      <c r="AU87" s="834"/>
      <c r="AV87" s="834"/>
      <c r="AW87" s="834"/>
      <c r="AX87" s="834"/>
      <c r="AY87" s="834"/>
      <c r="AZ87" s="834"/>
      <c r="BA87" s="834"/>
      <c r="BB87" s="834"/>
      <c r="BC87" s="834"/>
      <c r="BD87" s="834"/>
      <c r="BE87" s="834"/>
      <c r="BF87" s="834"/>
      <c r="BG87" s="834"/>
      <c r="BH87" s="834"/>
      <c r="BI87" s="834"/>
      <c r="BJ87" s="834"/>
      <c r="BK87" s="834"/>
      <c r="BL87" s="834"/>
      <c r="BM87" s="834"/>
      <c r="BN87" s="834"/>
      <c r="BO87" s="834"/>
      <c r="BP87" s="834"/>
      <c r="BQ87" s="834"/>
      <c r="BR87" s="834"/>
      <c r="BS87" s="834"/>
      <c r="BT87" s="834"/>
      <c r="BU87" s="834"/>
      <c r="BV87" s="834"/>
      <c r="BW87" s="834"/>
      <c r="BX87" s="834"/>
      <c r="BY87" s="834"/>
      <c r="BZ87" s="834"/>
      <c r="CA87" s="834"/>
      <c r="CB87" s="834"/>
      <c r="CC87" s="834"/>
      <c r="CD87" s="834"/>
      <c r="CE87" s="834"/>
      <c r="CF87" s="834"/>
      <c r="CG87" s="834"/>
      <c r="CH87" s="834"/>
      <c r="CI87" s="834"/>
      <c r="CJ87" s="834"/>
      <c r="CK87" s="834"/>
      <c r="CL87" s="834"/>
      <c r="CM87" s="834"/>
      <c r="CN87" s="834"/>
      <c r="CO87" s="834"/>
      <c r="CP87" s="834"/>
      <c r="CQ87" s="834"/>
      <c r="CR87" s="834"/>
      <c r="CS87" s="834"/>
      <c r="CT87" s="834"/>
      <c r="CU87" s="834"/>
      <c r="CV87" s="834"/>
      <c r="CW87" s="834"/>
      <c r="CX87" s="834"/>
      <c r="CY87" s="834"/>
      <c r="CZ87" s="834"/>
      <c r="DA87" s="834"/>
      <c r="DB87" s="834"/>
      <c r="DC87" s="834"/>
      <c r="DD87" s="839"/>
      <c r="DE87" s="1098"/>
      <c r="DF87" s="1098"/>
      <c r="DG87" s="1098"/>
      <c r="DH87" s="1098"/>
      <c r="DI87" s="1098"/>
      <c r="DJ87" s="1098"/>
      <c r="DK87" s="1098"/>
      <c r="DL87" s="1098"/>
      <c r="DM87" s="1098"/>
      <c r="DN87" s="1098"/>
      <c r="DO87" s="1098"/>
    </row>
    <row r="88" spans="1:119" s="1086" customFormat="1">
      <c r="A88" s="1089"/>
      <c r="B88" s="1148">
        <v>3</v>
      </c>
      <c r="C88" s="1090" t="s">
        <v>392</v>
      </c>
      <c r="D88" s="1149">
        <v>6.1667262915410297E-2</v>
      </c>
      <c r="E88" s="1089" t="s">
        <v>376</v>
      </c>
      <c r="F88" s="1150">
        <v>6.7743809985607306E-2</v>
      </c>
      <c r="G88" s="1089" t="s">
        <v>376</v>
      </c>
      <c r="H88" s="1150">
        <v>6.8797901524364394E-2</v>
      </c>
      <c r="I88" s="1089" t="s">
        <v>376</v>
      </c>
      <c r="J88" s="1150">
        <v>6.8687480830842099E-2</v>
      </c>
      <c r="K88" s="1089" t="s">
        <v>376</v>
      </c>
      <c r="L88" s="1150">
        <v>7.0999999999999994E-2</v>
      </c>
      <c r="M88" s="1089" t="s">
        <v>376</v>
      </c>
      <c r="N88" s="1150">
        <v>7.2797771925086296E-2</v>
      </c>
      <c r="O88" s="1089" t="s">
        <v>376</v>
      </c>
      <c r="P88" s="1150">
        <v>7.4868006698355902E-2</v>
      </c>
      <c r="Q88" s="1089" t="s">
        <v>376</v>
      </c>
      <c r="R88" s="1150">
        <v>7.6371650897817167E-2</v>
      </c>
      <c r="S88" s="1089" t="s">
        <v>376</v>
      </c>
      <c r="T88" s="1150">
        <v>8.1000000000000003E-2</v>
      </c>
      <c r="U88" s="1090" t="s">
        <v>376</v>
      </c>
      <c r="V88" s="1154">
        <v>8.2724043918215903E-2</v>
      </c>
      <c r="W88" s="1086" t="s">
        <v>376</v>
      </c>
      <c r="X88" s="1159">
        <v>0.08</v>
      </c>
      <c r="Y88" s="1113">
        <f t="shared" si="1"/>
        <v>43</v>
      </c>
      <c r="Z88" s="834"/>
      <c r="AA88" s="834"/>
      <c r="AB88" s="834"/>
      <c r="AC88" s="834"/>
      <c r="AD88" s="834"/>
      <c r="AE88" s="834"/>
      <c r="AF88" s="834"/>
      <c r="AG88" s="834"/>
      <c r="AH88" s="834"/>
      <c r="AI88" s="834"/>
      <c r="AJ88" s="834"/>
      <c r="AK88" s="834"/>
      <c r="AL88" s="834"/>
      <c r="AM88" s="834"/>
      <c r="AN88" s="834"/>
      <c r="AO88" s="834"/>
      <c r="AP88" s="834"/>
      <c r="AQ88" s="834"/>
      <c r="AR88" s="834"/>
      <c r="AS88" s="834"/>
      <c r="AT88" s="834"/>
      <c r="AU88" s="834"/>
      <c r="AV88" s="834"/>
      <c r="AW88" s="834"/>
      <c r="AX88" s="834"/>
      <c r="AY88" s="834"/>
      <c r="AZ88" s="834"/>
      <c r="BA88" s="834"/>
      <c r="BB88" s="834"/>
      <c r="BC88" s="834"/>
      <c r="BD88" s="834"/>
      <c r="BE88" s="834"/>
      <c r="BF88" s="834"/>
      <c r="BG88" s="834"/>
      <c r="BH88" s="834"/>
      <c r="BI88" s="834"/>
      <c r="BJ88" s="834"/>
      <c r="BK88" s="834"/>
      <c r="BL88" s="834"/>
      <c r="BM88" s="834"/>
      <c r="BN88" s="834"/>
      <c r="BO88" s="834"/>
      <c r="BP88" s="834"/>
      <c r="BQ88" s="834"/>
      <c r="BR88" s="834"/>
      <c r="BS88" s="834"/>
      <c r="BT88" s="834"/>
      <c r="BU88" s="834"/>
      <c r="BV88" s="834"/>
      <c r="BW88" s="834"/>
      <c r="BX88" s="834"/>
      <c r="BY88" s="834"/>
      <c r="BZ88" s="834"/>
      <c r="CA88" s="834"/>
      <c r="CB88" s="834"/>
      <c r="CC88" s="834"/>
      <c r="CD88" s="834"/>
      <c r="CE88" s="834"/>
      <c r="CF88" s="834"/>
      <c r="CG88" s="834"/>
      <c r="CH88" s="834"/>
      <c r="CI88" s="834"/>
      <c r="CJ88" s="834"/>
      <c r="CK88" s="834"/>
      <c r="CL88" s="834"/>
      <c r="CM88" s="834"/>
      <c r="CN88" s="834"/>
      <c r="CO88" s="834"/>
      <c r="CP88" s="834"/>
      <c r="CQ88" s="834"/>
      <c r="CR88" s="834"/>
      <c r="CS88" s="834"/>
      <c r="CT88" s="834"/>
      <c r="CU88" s="834"/>
      <c r="CV88" s="834"/>
      <c r="CW88" s="834"/>
      <c r="CX88" s="834"/>
      <c r="CY88" s="834"/>
      <c r="CZ88" s="834"/>
      <c r="DA88" s="834"/>
      <c r="DB88" s="834"/>
      <c r="DC88" s="834"/>
      <c r="DD88" s="839"/>
      <c r="DE88" s="1098"/>
      <c r="DF88" s="1098"/>
      <c r="DG88" s="1098"/>
      <c r="DH88" s="1098"/>
      <c r="DI88" s="1098"/>
      <c r="DJ88" s="1098"/>
      <c r="DK88" s="1098"/>
      <c r="DL88" s="1098"/>
      <c r="DM88" s="1098"/>
      <c r="DN88" s="1098"/>
      <c r="DO88" s="1098"/>
    </row>
    <row r="89" spans="1:119" s="1086" customFormat="1">
      <c r="A89" s="1089"/>
      <c r="B89" s="1148">
        <v>4</v>
      </c>
      <c r="C89" s="1090" t="s">
        <v>378</v>
      </c>
      <c r="D89" s="1149">
        <v>5.9388267717578699E-2</v>
      </c>
      <c r="E89" s="1089" t="s">
        <v>379</v>
      </c>
      <c r="F89" s="1150">
        <v>5.9556520199804501E-2</v>
      </c>
      <c r="G89" s="1089" t="s">
        <v>379</v>
      </c>
      <c r="H89" s="1150">
        <v>5.9901651630419397E-2</v>
      </c>
      <c r="I89" s="1089" t="s">
        <v>379</v>
      </c>
      <c r="J89" s="1150">
        <v>6.0201317729484803E-2</v>
      </c>
      <c r="K89" s="1089" t="s">
        <v>379</v>
      </c>
      <c r="L89" s="1150">
        <v>0.06</v>
      </c>
      <c r="M89" s="1089" t="s">
        <v>379</v>
      </c>
      <c r="N89" s="1150">
        <v>5.9524280546146703E-2</v>
      </c>
      <c r="O89" s="1089" t="s">
        <v>379</v>
      </c>
      <c r="P89" s="1150">
        <v>5.8679111620637998E-2</v>
      </c>
      <c r="Q89" s="1089" t="s">
        <v>379</v>
      </c>
      <c r="R89" s="1150">
        <v>5.7923633470706136E-2</v>
      </c>
      <c r="S89" s="1089" t="s">
        <v>379</v>
      </c>
      <c r="T89" s="1150">
        <v>5.7000000000000002E-2</v>
      </c>
      <c r="U89" s="1090" t="s">
        <v>379</v>
      </c>
      <c r="V89" s="1154">
        <v>5.6308570259622541E-2</v>
      </c>
      <c r="W89" s="1086" t="s">
        <v>379</v>
      </c>
      <c r="X89" s="1159">
        <v>6.2E-2</v>
      </c>
      <c r="Y89" s="1113">
        <f t="shared" si="1"/>
        <v>44</v>
      </c>
      <c r="Z89" s="834"/>
      <c r="AA89" s="834"/>
      <c r="AB89" s="834"/>
      <c r="AC89" s="834"/>
      <c r="AD89" s="834"/>
      <c r="AE89" s="834"/>
      <c r="AF89" s="834"/>
      <c r="AG89" s="834"/>
      <c r="AH89" s="834"/>
      <c r="AI89" s="834"/>
      <c r="AJ89" s="834"/>
      <c r="AK89" s="834"/>
      <c r="AL89" s="834"/>
      <c r="AM89" s="834"/>
      <c r="AN89" s="834"/>
      <c r="AO89" s="834"/>
      <c r="AP89" s="834"/>
      <c r="AQ89" s="834"/>
      <c r="AR89" s="834"/>
      <c r="AS89" s="834"/>
      <c r="AT89" s="834"/>
      <c r="AU89" s="834"/>
      <c r="AV89" s="834"/>
      <c r="AW89" s="834"/>
      <c r="AX89" s="834"/>
      <c r="AY89" s="834"/>
      <c r="AZ89" s="834"/>
      <c r="BA89" s="834"/>
      <c r="BB89" s="834"/>
      <c r="BC89" s="834"/>
      <c r="BD89" s="834"/>
      <c r="BE89" s="834"/>
      <c r="BF89" s="834"/>
      <c r="BG89" s="834"/>
      <c r="BH89" s="834"/>
      <c r="BI89" s="834"/>
      <c r="BJ89" s="834"/>
      <c r="BK89" s="834"/>
      <c r="BL89" s="834"/>
      <c r="BM89" s="834"/>
      <c r="BN89" s="834"/>
      <c r="BO89" s="834"/>
      <c r="BP89" s="834"/>
      <c r="BQ89" s="834"/>
      <c r="BR89" s="834"/>
      <c r="BS89" s="834"/>
      <c r="BT89" s="834"/>
      <c r="BU89" s="834"/>
      <c r="BV89" s="834"/>
      <c r="BW89" s="834"/>
      <c r="BX89" s="834"/>
      <c r="BY89" s="834"/>
      <c r="BZ89" s="834"/>
      <c r="CA89" s="834"/>
      <c r="CB89" s="834"/>
      <c r="CC89" s="834"/>
      <c r="CD89" s="834"/>
      <c r="CE89" s="834"/>
      <c r="CF89" s="834"/>
      <c r="CG89" s="834"/>
      <c r="CH89" s="834"/>
      <c r="CI89" s="834"/>
      <c r="CJ89" s="834"/>
      <c r="CK89" s="834"/>
      <c r="CL89" s="834"/>
      <c r="CM89" s="834"/>
      <c r="CN89" s="834"/>
      <c r="CO89" s="834"/>
      <c r="CP89" s="834"/>
      <c r="CQ89" s="834"/>
      <c r="CR89" s="834"/>
      <c r="CS89" s="834"/>
      <c r="CT89" s="834"/>
      <c r="CU89" s="834"/>
      <c r="CV89" s="834"/>
      <c r="CW89" s="834"/>
      <c r="CX89" s="834"/>
      <c r="CY89" s="834"/>
      <c r="CZ89" s="834"/>
      <c r="DA89" s="834"/>
      <c r="DB89" s="834"/>
      <c r="DC89" s="834"/>
      <c r="DD89" s="839"/>
      <c r="DE89" s="1098"/>
      <c r="DF89" s="1098"/>
      <c r="DG89" s="1098"/>
      <c r="DH89" s="1098"/>
      <c r="DI89" s="1098"/>
      <c r="DJ89" s="1098"/>
      <c r="DK89" s="1098"/>
      <c r="DL89" s="1098"/>
      <c r="DM89" s="1098"/>
      <c r="DN89" s="1098"/>
      <c r="DO89" s="1098"/>
    </row>
    <row r="90" spans="1:119" s="1086" customFormat="1">
      <c r="A90" s="1089"/>
      <c r="B90" s="1148">
        <v>5</v>
      </c>
      <c r="C90" s="1090" t="s">
        <v>379</v>
      </c>
      <c r="D90" s="1149">
        <v>5.7824771012089701E-2</v>
      </c>
      <c r="E90" s="1089" t="s">
        <v>392</v>
      </c>
      <c r="F90" s="1150">
        <v>5.3937980558313503E-2</v>
      </c>
      <c r="G90" s="1089" t="s">
        <v>391</v>
      </c>
      <c r="H90" s="1150">
        <v>5.3890098701886401E-2</v>
      </c>
      <c r="I90" s="1089" t="s">
        <v>391</v>
      </c>
      <c r="J90" s="1150">
        <v>5.5253365457454601E-2</v>
      </c>
      <c r="K90" s="1089" t="s">
        <v>391</v>
      </c>
      <c r="L90" s="1150">
        <v>5.2999999999999999E-2</v>
      </c>
      <c r="M90" s="1089" t="s">
        <v>391</v>
      </c>
      <c r="N90" s="1150">
        <v>5.27051877744883E-2</v>
      </c>
      <c r="O90" s="1089" t="s">
        <v>391</v>
      </c>
      <c r="P90" s="1150">
        <v>5.2681956078541599E-2</v>
      </c>
      <c r="Q90" s="1089" t="s">
        <v>391</v>
      </c>
      <c r="R90" s="1150">
        <v>5.2175486637735295E-2</v>
      </c>
      <c r="S90" s="1089" t="s">
        <v>391</v>
      </c>
      <c r="T90" s="1150">
        <v>5.1999999999999998E-2</v>
      </c>
      <c r="U90" s="1090" t="s">
        <v>391</v>
      </c>
      <c r="V90" s="1154">
        <v>5.320657291898126E-2</v>
      </c>
      <c r="W90" s="1086" t="s">
        <v>391</v>
      </c>
      <c r="X90" s="1159">
        <v>5.3999999999999999E-2</v>
      </c>
      <c r="Y90" s="1113">
        <f t="shared" si="1"/>
        <v>45</v>
      </c>
      <c r="Z90" s="834"/>
      <c r="AA90" s="834"/>
      <c r="AB90" s="834"/>
      <c r="AC90" s="834"/>
      <c r="AD90" s="834"/>
      <c r="AE90" s="834"/>
      <c r="AF90" s="834"/>
      <c r="AG90" s="834"/>
      <c r="AH90" s="834"/>
      <c r="AI90" s="834"/>
      <c r="AJ90" s="834"/>
      <c r="AK90" s="834"/>
      <c r="AL90" s="834"/>
      <c r="AM90" s="834"/>
      <c r="AN90" s="834"/>
      <c r="AO90" s="834"/>
      <c r="AP90" s="834"/>
      <c r="AQ90" s="834"/>
      <c r="AR90" s="834"/>
      <c r="AS90" s="834"/>
      <c r="AT90" s="834"/>
      <c r="AU90" s="834"/>
      <c r="AV90" s="834"/>
      <c r="AW90" s="834"/>
      <c r="AX90" s="834"/>
      <c r="AY90" s="834"/>
      <c r="AZ90" s="834"/>
      <c r="BA90" s="834"/>
      <c r="BB90" s="834"/>
      <c r="BC90" s="834"/>
      <c r="BD90" s="834"/>
      <c r="BE90" s="834"/>
      <c r="BF90" s="834"/>
      <c r="BG90" s="834"/>
      <c r="BH90" s="834"/>
      <c r="BI90" s="834"/>
      <c r="BJ90" s="834"/>
      <c r="BK90" s="834"/>
      <c r="BL90" s="834"/>
      <c r="BM90" s="834"/>
      <c r="BN90" s="834"/>
      <c r="BO90" s="834"/>
      <c r="BP90" s="834"/>
      <c r="BQ90" s="834"/>
      <c r="BR90" s="834"/>
      <c r="BS90" s="834"/>
      <c r="BT90" s="834"/>
      <c r="BU90" s="834"/>
      <c r="BV90" s="834"/>
      <c r="BW90" s="834"/>
      <c r="BX90" s="834"/>
      <c r="BY90" s="834"/>
      <c r="BZ90" s="834"/>
      <c r="CA90" s="834"/>
      <c r="CB90" s="834"/>
      <c r="CC90" s="834"/>
      <c r="CD90" s="834"/>
      <c r="CE90" s="834"/>
      <c r="CF90" s="834"/>
      <c r="CG90" s="834"/>
      <c r="CH90" s="834"/>
      <c r="CI90" s="834"/>
      <c r="CJ90" s="834"/>
      <c r="CK90" s="834"/>
      <c r="CL90" s="834"/>
      <c r="CM90" s="834"/>
      <c r="CN90" s="834"/>
      <c r="CO90" s="834"/>
      <c r="CP90" s="834"/>
      <c r="CQ90" s="834"/>
      <c r="CR90" s="834"/>
      <c r="CS90" s="834"/>
      <c r="CT90" s="834"/>
      <c r="CU90" s="834"/>
      <c r="CV90" s="834"/>
      <c r="CW90" s="834"/>
      <c r="CX90" s="834"/>
      <c r="CY90" s="834"/>
      <c r="CZ90" s="834"/>
      <c r="DA90" s="834"/>
      <c r="DB90" s="834"/>
      <c r="DC90" s="834"/>
      <c r="DD90" s="839"/>
      <c r="DE90" s="1098"/>
      <c r="DF90" s="1098"/>
      <c r="DG90" s="1098"/>
      <c r="DH90" s="1098"/>
      <c r="DI90" s="1098"/>
      <c r="DJ90" s="1098"/>
      <c r="DK90" s="1098"/>
      <c r="DL90" s="1098"/>
      <c r="DM90" s="1098"/>
      <c r="DN90" s="1098"/>
      <c r="DO90" s="1098"/>
    </row>
    <row r="91" spans="1:119" s="1086" customFormat="1">
      <c r="A91" s="1089"/>
      <c r="B91" s="1148">
        <v>6</v>
      </c>
      <c r="C91" s="1090" t="s">
        <v>391</v>
      </c>
      <c r="D91" s="1149">
        <v>5.1328498986377098E-2</v>
      </c>
      <c r="E91" s="1089" t="s">
        <v>391</v>
      </c>
      <c r="F91" s="1150">
        <v>5.2918177130234702E-2</v>
      </c>
      <c r="G91" s="1089" t="s">
        <v>392</v>
      </c>
      <c r="H91" s="1150">
        <v>5.2179077462597902E-2</v>
      </c>
      <c r="I91" s="1089" t="s">
        <v>392</v>
      </c>
      <c r="J91" s="1150">
        <v>4.8300734987085099E-2</v>
      </c>
      <c r="K91" s="1089" t="s">
        <v>392</v>
      </c>
      <c r="L91" s="1150">
        <v>4.4999999999999998E-2</v>
      </c>
      <c r="M91" s="1089" t="s">
        <v>392</v>
      </c>
      <c r="N91" s="1150">
        <v>4.2074008831791701E-2</v>
      </c>
      <c r="O91" s="1089" t="s">
        <v>392</v>
      </c>
      <c r="P91" s="1150">
        <v>4.04911646955547E-2</v>
      </c>
      <c r="Q91" s="1089" t="s">
        <v>392</v>
      </c>
      <c r="R91" s="1150">
        <v>4.0049235685970561E-2</v>
      </c>
      <c r="S91" s="1089" t="s">
        <v>381</v>
      </c>
      <c r="T91" s="1150">
        <v>4.1000000000000002E-2</v>
      </c>
      <c r="U91" s="1090" t="s">
        <v>381</v>
      </c>
      <c r="V91" s="1154">
        <v>4.1712076803972813E-2</v>
      </c>
      <c r="W91" s="1086" t="s">
        <v>381</v>
      </c>
      <c r="X91" s="1159">
        <v>4.4999999999999998E-2</v>
      </c>
      <c r="Y91" s="1113">
        <f t="shared" si="1"/>
        <v>46</v>
      </c>
      <c r="Z91" s="834"/>
      <c r="AA91" s="834"/>
      <c r="AB91" s="834"/>
      <c r="AC91" s="834"/>
      <c r="AD91" s="834"/>
      <c r="AE91" s="834"/>
      <c r="AF91" s="834"/>
      <c r="AG91" s="834"/>
      <c r="AH91" s="834"/>
      <c r="AI91" s="834"/>
      <c r="AJ91" s="834"/>
      <c r="AK91" s="834"/>
      <c r="AL91" s="834"/>
      <c r="AM91" s="834"/>
      <c r="AN91" s="834"/>
      <c r="AO91" s="834"/>
      <c r="AP91" s="834"/>
      <c r="AQ91" s="834"/>
      <c r="AR91" s="834"/>
      <c r="AS91" s="834"/>
      <c r="AT91" s="834"/>
      <c r="AU91" s="834"/>
      <c r="AV91" s="834"/>
      <c r="AW91" s="834"/>
      <c r="AX91" s="834"/>
      <c r="AY91" s="834"/>
      <c r="AZ91" s="834"/>
      <c r="BA91" s="834"/>
      <c r="BB91" s="834"/>
      <c r="BC91" s="834"/>
      <c r="BD91" s="834"/>
      <c r="BE91" s="834"/>
      <c r="BF91" s="834"/>
      <c r="BG91" s="834"/>
      <c r="BH91" s="834"/>
      <c r="BI91" s="834"/>
      <c r="BJ91" s="834"/>
      <c r="BK91" s="834"/>
      <c r="BL91" s="834"/>
      <c r="BM91" s="834"/>
      <c r="BN91" s="834"/>
      <c r="BO91" s="834"/>
      <c r="BP91" s="834"/>
      <c r="BQ91" s="834"/>
      <c r="BR91" s="834"/>
      <c r="BS91" s="834"/>
      <c r="BT91" s="834"/>
      <c r="BU91" s="834"/>
      <c r="BV91" s="834"/>
      <c r="BW91" s="834"/>
      <c r="BX91" s="834"/>
      <c r="BY91" s="834"/>
      <c r="BZ91" s="834"/>
      <c r="CA91" s="834"/>
      <c r="CB91" s="834"/>
      <c r="CC91" s="834"/>
      <c r="CD91" s="834"/>
      <c r="CE91" s="834"/>
      <c r="CF91" s="834"/>
      <c r="CG91" s="834"/>
      <c r="CH91" s="834"/>
      <c r="CI91" s="834"/>
      <c r="CJ91" s="834"/>
      <c r="CK91" s="834"/>
      <c r="CL91" s="834"/>
      <c r="CM91" s="834"/>
      <c r="CN91" s="834"/>
      <c r="CO91" s="834"/>
      <c r="CP91" s="834"/>
      <c r="CQ91" s="834"/>
      <c r="CR91" s="834"/>
      <c r="CS91" s="834"/>
      <c r="CT91" s="834"/>
      <c r="CU91" s="834"/>
      <c r="CV91" s="834"/>
      <c r="CW91" s="834"/>
      <c r="CX91" s="834"/>
      <c r="CY91" s="834"/>
      <c r="CZ91" s="834"/>
      <c r="DA91" s="834"/>
      <c r="DB91" s="834"/>
      <c r="DC91" s="834"/>
      <c r="DD91" s="839"/>
      <c r="DE91" s="1098"/>
      <c r="DF91" s="1098"/>
      <c r="DG91" s="1098"/>
      <c r="DH91" s="1098"/>
      <c r="DI91" s="1098"/>
      <c r="DJ91" s="1098"/>
      <c r="DK91" s="1098"/>
      <c r="DL91" s="1098"/>
      <c r="DM91" s="1098"/>
      <c r="DN91" s="1098"/>
      <c r="DO91" s="1098"/>
    </row>
    <row r="92" spans="1:119" s="1086" customFormat="1">
      <c r="A92" s="1089"/>
      <c r="B92" s="1148">
        <v>7</v>
      </c>
      <c r="C92" s="1090" t="s">
        <v>385</v>
      </c>
      <c r="D92" s="1149">
        <v>3.83908476764281E-2</v>
      </c>
      <c r="E92" s="1089" t="s">
        <v>394</v>
      </c>
      <c r="F92" s="1150">
        <v>3.8537024636911499E-2</v>
      </c>
      <c r="G92" s="1089" t="s">
        <v>382</v>
      </c>
      <c r="H92" s="1150">
        <v>3.7281880143669198E-2</v>
      </c>
      <c r="I92" s="1089" t="s">
        <v>394</v>
      </c>
      <c r="J92" s="1150">
        <v>3.7924446727293601E-2</v>
      </c>
      <c r="K92" s="1089" t="s">
        <v>381</v>
      </c>
      <c r="L92" s="1150">
        <v>3.6999999999999998E-2</v>
      </c>
      <c r="M92" s="1089" t="s">
        <v>381</v>
      </c>
      <c r="N92" s="1150">
        <v>3.9524590192135299E-2</v>
      </c>
      <c r="O92" s="1089" t="s">
        <v>381</v>
      </c>
      <c r="P92" s="1150">
        <v>4.04821518378118E-2</v>
      </c>
      <c r="Q92" s="1089" t="s">
        <v>381</v>
      </c>
      <c r="R92" s="1150">
        <v>4.0363360728223795E-2</v>
      </c>
      <c r="S92" s="1089" t="s">
        <v>392</v>
      </c>
      <c r="T92" s="1150">
        <v>0.04</v>
      </c>
      <c r="U92" s="1090" t="s">
        <v>392</v>
      </c>
      <c r="V92" s="1154">
        <v>4.0549929989031029E-2</v>
      </c>
      <c r="W92" s="1086" t="s">
        <v>382</v>
      </c>
      <c r="X92" s="1159">
        <v>4.1000000000000002E-2</v>
      </c>
      <c r="Y92" s="1113">
        <f t="shared" si="1"/>
        <v>47</v>
      </c>
      <c r="Z92" s="834"/>
      <c r="AA92" s="834"/>
      <c r="AB92" s="834"/>
      <c r="AC92" s="834"/>
      <c r="AD92" s="834"/>
      <c r="AE92" s="834"/>
      <c r="AF92" s="834"/>
      <c r="AG92" s="834"/>
      <c r="AH92" s="834"/>
      <c r="AI92" s="834"/>
      <c r="AJ92" s="834"/>
      <c r="AK92" s="834"/>
      <c r="AL92" s="834"/>
      <c r="AM92" s="834"/>
      <c r="AN92" s="834"/>
      <c r="AO92" s="834"/>
      <c r="AP92" s="834"/>
      <c r="AQ92" s="834"/>
      <c r="AR92" s="834"/>
      <c r="AS92" s="834"/>
      <c r="AT92" s="834"/>
      <c r="AU92" s="834"/>
      <c r="AV92" s="834"/>
      <c r="AW92" s="834"/>
      <c r="AX92" s="834"/>
      <c r="AY92" s="834"/>
      <c r="AZ92" s="834"/>
      <c r="BA92" s="834"/>
      <c r="BB92" s="834"/>
      <c r="BC92" s="834"/>
      <c r="BD92" s="834"/>
      <c r="BE92" s="834"/>
      <c r="BF92" s="834"/>
      <c r="BG92" s="834"/>
      <c r="BH92" s="834"/>
      <c r="BI92" s="834"/>
      <c r="BJ92" s="834"/>
      <c r="BK92" s="834"/>
      <c r="BL92" s="834"/>
      <c r="BM92" s="834"/>
      <c r="BN92" s="834"/>
      <c r="BO92" s="834"/>
      <c r="BP92" s="834"/>
      <c r="BQ92" s="834"/>
      <c r="BR92" s="834"/>
      <c r="BS92" s="834"/>
      <c r="BT92" s="834"/>
      <c r="BU92" s="834"/>
      <c r="BV92" s="834"/>
      <c r="BW92" s="834"/>
      <c r="BX92" s="834"/>
      <c r="BY92" s="834"/>
      <c r="BZ92" s="834"/>
      <c r="CA92" s="834"/>
      <c r="CB92" s="834"/>
      <c r="CC92" s="834"/>
      <c r="CD92" s="834"/>
      <c r="CE92" s="834"/>
      <c r="CF92" s="834"/>
      <c r="CG92" s="834"/>
      <c r="CH92" s="834"/>
      <c r="CI92" s="834"/>
      <c r="CJ92" s="834"/>
      <c r="CK92" s="834"/>
      <c r="CL92" s="834"/>
      <c r="CM92" s="834"/>
      <c r="CN92" s="834"/>
      <c r="CO92" s="834"/>
      <c r="CP92" s="834"/>
      <c r="CQ92" s="834"/>
      <c r="CR92" s="834"/>
      <c r="CS92" s="834"/>
      <c r="CT92" s="834"/>
      <c r="CU92" s="834"/>
      <c r="CV92" s="834"/>
      <c r="CW92" s="834"/>
      <c r="CX92" s="834"/>
      <c r="CY92" s="834"/>
      <c r="CZ92" s="834"/>
      <c r="DA92" s="834"/>
      <c r="DB92" s="834"/>
      <c r="DC92" s="834"/>
      <c r="DD92" s="839"/>
      <c r="DE92" s="1098"/>
      <c r="DF92" s="1098"/>
      <c r="DG92" s="1098"/>
      <c r="DH92" s="1098"/>
      <c r="DI92" s="1098"/>
      <c r="DJ92" s="1098"/>
      <c r="DK92" s="1098"/>
      <c r="DL92" s="1098"/>
      <c r="DM92" s="1098"/>
      <c r="DN92" s="1098"/>
      <c r="DO92" s="1098"/>
    </row>
    <row r="93" spans="1:119" s="1086" customFormat="1">
      <c r="A93" s="1089"/>
      <c r="B93" s="1148">
        <v>8</v>
      </c>
      <c r="C93" s="1090" t="s">
        <v>394</v>
      </c>
      <c r="D93" s="1149">
        <v>3.5769246057660103E-2</v>
      </c>
      <c r="E93" s="1089" t="s">
        <v>382</v>
      </c>
      <c r="F93" s="1150">
        <v>3.6016378427886402E-2</v>
      </c>
      <c r="G93" s="1089" t="s">
        <v>394</v>
      </c>
      <c r="H93" s="1150">
        <v>3.6933666110466903E-2</v>
      </c>
      <c r="I93" s="1089" t="s">
        <v>382</v>
      </c>
      <c r="J93" s="1150">
        <v>3.6546114989080503E-2</v>
      </c>
      <c r="K93" s="1089" t="s">
        <v>382</v>
      </c>
      <c r="L93" s="1150">
        <v>3.5999999999999997E-2</v>
      </c>
      <c r="M93" s="1089" t="s">
        <v>382</v>
      </c>
      <c r="N93" s="1150">
        <v>3.9003352777954602E-2</v>
      </c>
      <c r="O93" s="1089" t="s">
        <v>382</v>
      </c>
      <c r="P93" s="1150">
        <v>4.0359576972508998E-2</v>
      </c>
      <c r="Q93" s="1089" t="s">
        <v>382</v>
      </c>
      <c r="R93" s="1150">
        <v>3.9494395258077623E-2</v>
      </c>
      <c r="S93" s="1089" t="s">
        <v>394</v>
      </c>
      <c r="T93" s="1150">
        <v>3.9E-2</v>
      </c>
      <c r="U93" s="1090" t="s">
        <v>394</v>
      </c>
      <c r="V93" s="1154">
        <v>3.8969833560824896E-2</v>
      </c>
      <c r="W93" s="1086" t="s">
        <v>392</v>
      </c>
      <c r="X93" s="1159">
        <v>0.04</v>
      </c>
      <c r="Y93" s="1113">
        <f t="shared" si="1"/>
        <v>48</v>
      </c>
      <c r="Z93" s="834"/>
      <c r="AA93" s="834"/>
      <c r="AB93" s="834"/>
      <c r="AC93" s="834"/>
      <c r="AD93" s="834"/>
      <c r="AE93" s="834"/>
      <c r="AF93" s="834"/>
      <c r="AG93" s="834"/>
      <c r="AH93" s="834"/>
      <c r="AI93" s="834"/>
      <c r="AJ93" s="834"/>
      <c r="AK93" s="834"/>
      <c r="AL93" s="834"/>
      <c r="AM93" s="834"/>
      <c r="AN93" s="834"/>
      <c r="AO93" s="834"/>
      <c r="AP93" s="834"/>
      <c r="AQ93" s="834"/>
      <c r="AR93" s="834"/>
      <c r="AS93" s="834"/>
      <c r="AT93" s="834"/>
      <c r="AU93" s="834"/>
      <c r="AV93" s="834"/>
      <c r="AW93" s="834"/>
      <c r="AX93" s="834"/>
      <c r="AY93" s="834"/>
      <c r="AZ93" s="834"/>
      <c r="BA93" s="834"/>
      <c r="BB93" s="834"/>
      <c r="BC93" s="834"/>
      <c r="BD93" s="834"/>
      <c r="BE93" s="834"/>
      <c r="BF93" s="834"/>
      <c r="BG93" s="834"/>
      <c r="BH93" s="834"/>
      <c r="BI93" s="834"/>
      <c r="BJ93" s="834"/>
      <c r="BK93" s="834"/>
      <c r="BL93" s="834"/>
      <c r="BM93" s="834"/>
      <c r="BN93" s="834"/>
      <c r="BO93" s="834"/>
      <c r="BP93" s="834"/>
      <c r="BQ93" s="834"/>
      <c r="BR93" s="834"/>
      <c r="BS93" s="834"/>
      <c r="BT93" s="834"/>
      <c r="BU93" s="834"/>
      <c r="BV93" s="834"/>
      <c r="BW93" s="834"/>
      <c r="BX93" s="834"/>
      <c r="BY93" s="834"/>
      <c r="BZ93" s="834"/>
      <c r="CA93" s="834"/>
      <c r="CB93" s="834"/>
      <c r="CC93" s="834"/>
      <c r="CD93" s="834"/>
      <c r="CE93" s="834"/>
      <c r="CF93" s="834"/>
      <c r="CG93" s="834"/>
      <c r="CH93" s="834"/>
      <c r="CI93" s="834"/>
      <c r="CJ93" s="834"/>
      <c r="CK93" s="834"/>
      <c r="CL93" s="834"/>
      <c r="CM93" s="834"/>
      <c r="CN93" s="834"/>
      <c r="CO93" s="834"/>
      <c r="CP93" s="834"/>
      <c r="CQ93" s="834"/>
      <c r="CR93" s="834"/>
      <c r="CS93" s="834"/>
      <c r="CT93" s="834"/>
      <c r="CU93" s="834"/>
      <c r="CV93" s="834"/>
      <c r="CW93" s="834"/>
      <c r="CX93" s="834"/>
      <c r="CY93" s="834"/>
      <c r="CZ93" s="834"/>
      <c r="DA93" s="834"/>
      <c r="DB93" s="834"/>
      <c r="DC93" s="834"/>
      <c r="DD93" s="839"/>
      <c r="DE93" s="1098"/>
      <c r="DF93" s="1098"/>
      <c r="DG93" s="1098"/>
      <c r="DH93" s="1098"/>
      <c r="DI93" s="1098"/>
      <c r="DJ93" s="1098"/>
      <c r="DK93" s="1098"/>
      <c r="DL93" s="1098"/>
      <c r="DM93" s="1098"/>
      <c r="DN93" s="1098"/>
      <c r="DO93" s="1098"/>
    </row>
    <row r="94" spans="1:119" s="1086" customFormat="1">
      <c r="A94" s="1089"/>
      <c r="B94" s="1148">
        <v>9</v>
      </c>
      <c r="C94" s="1090" t="s">
        <v>403</v>
      </c>
      <c r="D94" s="1149">
        <v>3.4629748458744301E-2</v>
      </c>
      <c r="E94" s="1089" t="s">
        <v>385</v>
      </c>
      <c r="F94" s="1150">
        <v>3.27010552079244E-2</v>
      </c>
      <c r="G94" s="1089" t="s">
        <v>381</v>
      </c>
      <c r="H94" s="1150">
        <v>3.20639723974094E-2</v>
      </c>
      <c r="I94" s="1089" t="s">
        <v>381</v>
      </c>
      <c r="J94" s="1150">
        <v>3.2191251843010603E-2</v>
      </c>
      <c r="K94" s="1089" t="s">
        <v>394</v>
      </c>
      <c r="L94" s="1150">
        <v>3.4000000000000002E-2</v>
      </c>
      <c r="M94" s="1089" t="s">
        <v>394</v>
      </c>
      <c r="N94" s="1150">
        <v>3.3493374435971203E-2</v>
      </c>
      <c r="O94" s="1089" t="s">
        <v>394</v>
      </c>
      <c r="P94" s="1150">
        <v>3.4623794304955401E-2</v>
      </c>
      <c r="Q94" s="1089" t="s">
        <v>394</v>
      </c>
      <c r="R94" s="1150">
        <v>3.8138877412702263E-2</v>
      </c>
      <c r="S94" s="1089" t="s">
        <v>382</v>
      </c>
      <c r="T94" s="1150">
        <v>3.7999999999999999E-2</v>
      </c>
      <c r="U94" s="1090" t="s">
        <v>382</v>
      </c>
      <c r="V94" s="1154">
        <v>3.8553647448038457E-2</v>
      </c>
      <c r="W94" s="1086" t="s">
        <v>394</v>
      </c>
      <c r="X94" s="1159">
        <v>3.9E-2</v>
      </c>
      <c r="Y94" s="1113">
        <f t="shared" si="1"/>
        <v>49</v>
      </c>
      <c r="Z94" s="834"/>
      <c r="AA94" s="834"/>
      <c r="AB94" s="834"/>
      <c r="AC94" s="834"/>
      <c r="AD94" s="834"/>
      <c r="AE94" s="834"/>
      <c r="AF94" s="834"/>
      <c r="AG94" s="834"/>
      <c r="AH94" s="834"/>
      <c r="AI94" s="834"/>
      <c r="AJ94" s="834"/>
      <c r="AK94" s="834"/>
      <c r="AL94" s="834"/>
      <c r="AM94" s="834"/>
      <c r="AN94" s="834"/>
      <c r="AO94" s="834"/>
      <c r="AP94" s="834"/>
      <c r="AQ94" s="834"/>
      <c r="AR94" s="834"/>
      <c r="AS94" s="834"/>
      <c r="AT94" s="834"/>
      <c r="AU94" s="834"/>
      <c r="AV94" s="834"/>
      <c r="AW94" s="834"/>
      <c r="AX94" s="834"/>
      <c r="AY94" s="834"/>
      <c r="AZ94" s="834"/>
      <c r="BA94" s="834"/>
      <c r="BB94" s="834"/>
      <c r="BC94" s="834"/>
      <c r="BD94" s="834"/>
      <c r="BE94" s="834"/>
      <c r="BF94" s="834"/>
      <c r="BG94" s="834"/>
      <c r="BH94" s="834"/>
      <c r="BI94" s="834"/>
      <c r="BJ94" s="834"/>
      <c r="BK94" s="834"/>
      <c r="BL94" s="834"/>
      <c r="BM94" s="834"/>
      <c r="BN94" s="834"/>
      <c r="BO94" s="834"/>
      <c r="BP94" s="834"/>
      <c r="BQ94" s="834"/>
      <c r="BR94" s="834"/>
      <c r="BS94" s="834"/>
      <c r="BT94" s="834"/>
      <c r="BU94" s="834"/>
      <c r="BV94" s="834"/>
      <c r="BW94" s="834"/>
      <c r="BX94" s="834"/>
      <c r="BY94" s="834"/>
      <c r="BZ94" s="834"/>
      <c r="CA94" s="834"/>
      <c r="CB94" s="834"/>
      <c r="CC94" s="834"/>
      <c r="CD94" s="834"/>
      <c r="CE94" s="834"/>
      <c r="CF94" s="834"/>
      <c r="CG94" s="834"/>
      <c r="CH94" s="834"/>
      <c r="CI94" s="834"/>
      <c r="CJ94" s="834"/>
      <c r="CK94" s="834"/>
      <c r="CL94" s="834"/>
      <c r="CM94" s="834"/>
      <c r="CN94" s="834"/>
      <c r="CO94" s="834"/>
      <c r="CP94" s="834"/>
      <c r="CQ94" s="834"/>
      <c r="CR94" s="834"/>
      <c r="CS94" s="834"/>
      <c r="CT94" s="834"/>
      <c r="CU94" s="834"/>
      <c r="CV94" s="834"/>
      <c r="CW94" s="834"/>
      <c r="CX94" s="834"/>
      <c r="CY94" s="834"/>
      <c r="CZ94" s="834"/>
      <c r="DA94" s="834"/>
      <c r="DB94" s="834"/>
      <c r="DC94" s="834"/>
      <c r="DD94" s="839"/>
      <c r="DE94" s="1098"/>
      <c r="DF94" s="1098"/>
      <c r="DG94" s="1098"/>
      <c r="DH94" s="1098"/>
      <c r="DI94" s="1098"/>
      <c r="DJ94" s="1098"/>
      <c r="DK94" s="1098"/>
      <c r="DL94" s="1098"/>
      <c r="DM94" s="1098"/>
      <c r="DN94" s="1098"/>
      <c r="DO94" s="1098"/>
    </row>
    <row r="95" spans="1:119" s="1086" customFormat="1">
      <c r="A95" s="1114"/>
      <c r="B95" s="1155">
        <v>10</v>
      </c>
      <c r="C95" s="1092" t="s">
        <v>382</v>
      </c>
      <c r="D95" s="1156">
        <v>3.4309856275660001E-2</v>
      </c>
      <c r="E95" s="1114" t="s">
        <v>403</v>
      </c>
      <c r="F95" s="1157">
        <v>3.0203498887837001E-2</v>
      </c>
      <c r="G95" s="1114" t="s">
        <v>385</v>
      </c>
      <c r="H95" s="1157">
        <v>3.0589807404055501E-2</v>
      </c>
      <c r="I95" s="1114" t="s">
        <v>385</v>
      </c>
      <c r="J95" s="1157">
        <v>3.1313627746963398E-2</v>
      </c>
      <c r="K95" s="1114" t="s">
        <v>388</v>
      </c>
      <c r="L95" s="1157">
        <v>0.03</v>
      </c>
      <c r="M95" s="1114" t="s">
        <v>388</v>
      </c>
      <c r="N95" s="1157">
        <v>3.06687149175396E-2</v>
      </c>
      <c r="O95" s="1114" t="s">
        <v>388</v>
      </c>
      <c r="P95" s="1157">
        <v>3.09844023483902E-2</v>
      </c>
      <c r="Q95" s="1114" t="s">
        <v>388</v>
      </c>
      <c r="R95" s="1157">
        <v>3.0968631883008909E-2</v>
      </c>
      <c r="S95" s="1114" t="s">
        <v>388</v>
      </c>
      <c r="T95" s="1157">
        <v>0.03</v>
      </c>
      <c r="U95" s="1092" t="s">
        <v>385</v>
      </c>
      <c r="V95" s="1158">
        <v>3.3409516553978988E-2</v>
      </c>
      <c r="W95" s="1114" t="s">
        <v>385</v>
      </c>
      <c r="X95" s="1157">
        <v>3.1E-2</v>
      </c>
      <c r="Y95" s="1113">
        <f t="shared" si="1"/>
        <v>50</v>
      </c>
      <c r="Z95" s="834"/>
      <c r="AA95" s="834"/>
      <c r="AB95" s="834"/>
      <c r="AC95" s="834"/>
      <c r="AD95" s="834"/>
      <c r="AE95" s="834"/>
      <c r="AF95" s="834"/>
      <c r="AG95" s="834"/>
      <c r="AH95" s="834"/>
      <c r="AI95" s="834"/>
      <c r="AJ95" s="834"/>
      <c r="AK95" s="834"/>
      <c r="AL95" s="834"/>
      <c r="AM95" s="834"/>
      <c r="AN95" s="834"/>
      <c r="AO95" s="834"/>
      <c r="AP95" s="834"/>
      <c r="AQ95" s="834"/>
      <c r="AR95" s="834"/>
      <c r="AS95" s="834"/>
      <c r="AT95" s="834"/>
      <c r="AU95" s="834"/>
      <c r="AV95" s="834"/>
      <c r="AW95" s="834"/>
      <c r="AX95" s="834"/>
      <c r="AY95" s="834"/>
      <c r="AZ95" s="834"/>
      <c r="BA95" s="834"/>
      <c r="BB95" s="834"/>
      <c r="BC95" s="834"/>
      <c r="BD95" s="834"/>
      <c r="BE95" s="834"/>
      <c r="BF95" s="834"/>
      <c r="BG95" s="834"/>
      <c r="BH95" s="834"/>
      <c r="BI95" s="834"/>
      <c r="BJ95" s="834"/>
      <c r="BK95" s="834"/>
      <c r="BL95" s="834"/>
      <c r="BM95" s="834"/>
      <c r="BN95" s="834"/>
      <c r="BO95" s="834"/>
      <c r="BP95" s="834"/>
      <c r="BQ95" s="834"/>
      <c r="BR95" s="834"/>
      <c r="BS95" s="834"/>
      <c r="BT95" s="834"/>
      <c r="BU95" s="834"/>
      <c r="BV95" s="834"/>
      <c r="BW95" s="834"/>
      <c r="BX95" s="834"/>
      <c r="BY95" s="834"/>
      <c r="BZ95" s="834"/>
      <c r="CA95" s="834"/>
      <c r="CB95" s="834"/>
      <c r="CC95" s="834"/>
      <c r="CD95" s="834"/>
      <c r="CE95" s="834"/>
      <c r="CF95" s="834"/>
      <c r="CG95" s="834"/>
      <c r="CH95" s="834"/>
      <c r="CI95" s="834"/>
      <c r="CJ95" s="834"/>
      <c r="CK95" s="834"/>
      <c r="CL95" s="834"/>
      <c r="CM95" s="834"/>
      <c r="CN95" s="834"/>
      <c r="CO95" s="834"/>
      <c r="CP95" s="834"/>
      <c r="CQ95" s="834"/>
      <c r="CR95" s="834"/>
      <c r="CS95" s="834"/>
      <c r="CT95" s="834"/>
      <c r="CU95" s="834"/>
      <c r="CV95" s="834"/>
      <c r="CW95" s="834"/>
      <c r="CX95" s="834"/>
      <c r="CY95" s="834"/>
      <c r="CZ95" s="834"/>
      <c r="DA95" s="834"/>
      <c r="DB95" s="834"/>
      <c r="DC95" s="834"/>
      <c r="DD95" s="839"/>
      <c r="DE95" s="1098"/>
      <c r="DF95" s="1098"/>
      <c r="DG95" s="1098"/>
      <c r="DH95" s="1098"/>
      <c r="DI95" s="1098"/>
      <c r="DJ95" s="1098"/>
      <c r="DK95" s="1098"/>
      <c r="DL95" s="1098"/>
      <c r="DM95" s="1098"/>
      <c r="DN95" s="1098"/>
      <c r="DO95" s="1098"/>
    </row>
    <row r="96" spans="1:119" s="1086" customFormat="1">
      <c r="Y96" s="1089"/>
      <c r="Z96" s="834"/>
      <c r="AA96" s="834"/>
      <c r="AB96" s="834"/>
      <c r="AC96" s="834"/>
      <c r="AD96" s="834"/>
      <c r="AE96" s="834"/>
      <c r="AF96" s="834"/>
      <c r="AG96" s="834"/>
      <c r="AH96" s="834"/>
      <c r="AI96" s="834"/>
      <c r="AJ96" s="834"/>
      <c r="AK96" s="834"/>
      <c r="AL96" s="834"/>
      <c r="AM96" s="834"/>
      <c r="AN96" s="834"/>
      <c r="AO96" s="834"/>
      <c r="AP96" s="834"/>
      <c r="AQ96" s="834"/>
      <c r="AR96" s="834"/>
      <c r="AS96" s="834"/>
      <c r="AT96" s="834"/>
      <c r="AU96" s="834"/>
      <c r="AV96" s="834"/>
      <c r="AW96" s="834"/>
      <c r="AX96" s="834"/>
      <c r="AY96" s="834"/>
      <c r="AZ96" s="1161"/>
      <c r="BA96" s="834"/>
      <c r="BB96" s="834"/>
      <c r="BC96" s="834"/>
      <c r="BD96" s="834"/>
      <c r="BE96" s="834"/>
      <c r="BF96" s="834"/>
      <c r="BG96" s="834"/>
      <c r="BH96" s="834"/>
      <c r="BI96" s="834"/>
      <c r="BJ96" s="834"/>
      <c r="BK96" s="834"/>
      <c r="BL96" s="834"/>
      <c r="BM96" s="834"/>
      <c r="BN96" s="834"/>
      <c r="BO96" s="834"/>
      <c r="BP96" s="834"/>
      <c r="BQ96" s="834"/>
      <c r="BR96" s="834"/>
      <c r="BS96" s="834"/>
      <c r="BT96" s="834"/>
      <c r="BU96" s="834"/>
      <c r="BV96" s="834"/>
      <c r="BW96" s="834"/>
      <c r="BX96" s="834"/>
      <c r="BY96" s="834"/>
      <c r="BZ96" s="834"/>
      <c r="CA96" s="834"/>
      <c r="CB96" s="834"/>
      <c r="CC96" s="834"/>
      <c r="CD96" s="834"/>
      <c r="CE96" s="834"/>
      <c r="CF96" s="834"/>
      <c r="CG96" s="834"/>
      <c r="CH96" s="834"/>
      <c r="CI96" s="834"/>
      <c r="CJ96" s="834"/>
      <c r="CK96" s="834"/>
      <c r="CL96" s="834"/>
      <c r="CM96" s="834"/>
      <c r="CN96" s="834"/>
      <c r="CO96" s="834"/>
      <c r="CP96" s="834"/>
      <c r="CQ96" s="834"/>
      <c r="CR96" s="834"/>
      <c r="CS96" s="834"/>
      <c r="CT96" s="834"/>
      <c r="CU96" s="834"/>
      <c r="CV96" s="834"/>
      <c r="CW96" s="834"/>
      <c r="CX96" s="834"/>
      <c r="CY96" s="834"/>
      <c r="CZ96" s="834"/>
      <c r="DA96" s="834"/>
      <c r="DB96" s="834"/>
      <c r="DC96" s="834"/>
      <c r="DD96" s="839"/>
      <c r="DE96" s="1098"/>
      <c r="DF96" s="1098"/>
      <c r="DG96" s="1098"/>
      <c r="DH96" s="1098"/>
      <c r="DI96" s="1098"/>
      <c r="DJ96" s="1098"/>
      <c r="DK96" s="1098"/>
      <c r="DL96" s="1098"/>
      <c r="DM96" s="1098"/>
      <c r="DN96" s="1098"/>
      <c r="DO96" s="1098"/>
    </row>
    <row r="97" spans="1:119" s="1086" customFormat="1">
      <c r="A97" s="1086" t="s">
        <v>406</v>
      </c>
      <c r="Y97" s="1113"/>
      <c r="Z97" s="1162" t="s">
        <v>36</v>
      </c>
      <c r="AA97" s="1162">
        <f>$C$45</f>
        <v>2012</v>
      </c>
      <c r="AB97" s="1162">
        <f t="shared" ref="AB97:AK97" si="2">AA97+1</f>
        <v>2013</v>
      </c>
      <c r="AC97" s="1162">
        <f t="shared" si="2"/>
        <v>2014</v>
      </c>
      <c r="AD97" s="1162">
        <f t="shared" si="2"/>
        <v>2015</v>
      </c>
      <c r="AE97" s="1162">
        <f t="shared" si="2"/>
        <v>2016</v>
      </c>
      <c r="AF97" s="1162">
        <f t="shared" si="2"/>
        <v>2017</v>
      </c>
      <c r="AG97" s="1162">
        <f t="shared" si="2"/>
        <v>2018</v>
      </c>
      <c r="AH97" s="1162">
        <f t="shared" si="2"/>
        <v>2019</v>
      </c>
      <c r="AI97" s="1162">
        <f t="shared" si="2"/>
        <v>2020</v>
      </c>
      <c r="AJ97" s="1162">
        <f t="shared" si="2"/>
        <v>2021</v>
      </c>
      <c r="AK97" s="1162">
        <f t="shared" si="2"/>
        <v>2022</v>
      </c>
      <c r="AL97" s="1162"/>
      <c r="AM97" s="1162"/>
      <c r="AN97" s="1162"/>
      <c r="AO97" s="1162"/>
      <c r="AP97" s="1162" t="s">
        <v>38</v>
      </c>
      <c r="AQ97" s="1162">
        <f>AA97</f>
        <v>2012</v>
      </c>
      <c r="AR97" s="1162">
        <f>AQ97+1</f>
        <v>2013</v>
      </c>
      <c r="AS97" s="1162">
        <f t="shared" ref="AS97:AZ97" si="3">AR97+1</f>
        <v>2014</v>
      </c>
      <c r="AT97" s="1162">
        <f t="shared" si="3"/>
        <v>2015</v>
      </c>
      <c r="AU97" s="1162">
        <f t="shared" si="3"/>
        <v>2016</v>
      </c>
      <c r="AV97" s="1162">
        <f t="shared" si="3"/>
        <v>2017</v>
      </c>
      <c r="AW97" s="1162">
        <f t="shared" si="3"/>
        <v>2018</v>
      </c>
      <c r="AX97" s="1162">
        <f t="shared" si="3"/>
        <v>2019</v>
      </c>
      <c r="AY97" s="1162">
        <f t="shared" si="3"/>
        <v>2020</v>
      </c>
      <c r="AZ97" s="1163">
        <f t="shared" si="3"/>
        <v>2021</v>
      </c>
      <c r="BA97" s="1162"/>
      <c r="BB97" s="1162"/>
      <c r="BC97" s="1162"/>
      <c r="BD97" s="1162"/>
      <c r="BE97" s="1162" t="s">
        <v>42</v>
      </c>
      <c r="BF97" s="1162">
        <f>AA97</f>
        <v>2012</v>
      </c>
      <c r="BG97" s="1162">
        <f>BF97+1</f>
        <v>2013</v>
      </c>
      <c r="BH97" s="1162">
        <f t="shared" ref="BH97:BP97" si="4">BG97+1</f>
        <v>2014</v>
      </c>
      <c r="BI97" s="1162">
        <f t="shared" si="4"/>
        <v>2015</v>
      </c>
      <c r="BJ97" s="1162">
        <f t="shared" si="4"/>
        <v>2016</v>
      </c>
      <c r="BK97" s="1162">
        <f t="shared" si="4"/>
        <v>2017</v>
      </c>
      <c r="BL97" s="1162">
        <f t="shared" si="4"/>
        <v>2018</v>
      </c>
      <c r="BM97" s="1162">
        <f t="shared" si="4"/>
        <v>2019</v>
      </c>
      <c r="BN97" s="1162">
        <f t="shared" si="4"/>
        <v>2020</v>
      </c>
      <c r="BO97" s="1162">
        <f t="shared" si="4"/>
        <v>2021</v>
      </c>
      <c r="BP97" s="1162">
        <f t="shared" si="4"/>
        <v>2022</v>
      </c>
      <c r="BQ97" s="1162"/>
      <c r="BR97" s="1162"/>
      <c r="BS97" s="1162"/>
      <c r="BT97" s="1162"/>
      <c r="BU97" s="1162" t="s">
        <v>43</v>
      </c>
      <c r="BV97" s="1162">
        <f>AQ97</f>
        <v>2012</v>
      </c>
      <c r="BW97" s="1162">
        <f>BV97+1</f>
        <v>2013</v>
      </c>
      <c r="BX97" s="1162">
        <f t="shared" ref="BX97:CF97" si="5">BW97+1</f>
        <v>2014</v>
      </c>
      <c r="BY97" s="1162">
        <f t="shared" si="5"/>
        <v>2015</v>
      </c>
      <c r="BZ97" s="1162">
        <f t="shared" si="5"/>
        <v>2016</v>
      </c>
      <c r="CA97" s="1162">
        <f t="shared" si="5"/>
        <v>2017</v>
      </c>
      <c r="CB97" s="1162">
        <f t="shared" si="5"/>
        <v>2018</v>
      </c>
      <c r="CC97" s="1162">
        <f t="shared" si="5"/>
        <v>2019</v>
      </c>
      <c r="CD97" s="1162">
        <f t="shared" si="5"/>
        <v>2020</v>
      </c>
      <c r="CE97" s="1162">
        <f t="shared" si="5"/>
        <v>2021</v>
      </c>
      <c r="CF97" s="1163">
        <f t="shared" si="5"/>
        <v>2022</v>
      </c>
      <c r="CG97" s="1162"/>
      <c r="CH97" s="1162"/>
      <c r="CI97" s="1162"/>
      <c r="CJ97" s="1162"/>
      <c r="CK97" s="1162" t="s">
        <v>44</v>
      </c>
      <c r="CL97" s="1162">
        <f>BF97</f>
        <v>2012</v>
      </c>
      <c r="CM97" s="1162">
        <f>CL97+1</f>
        <v>2013</v>
      </c>
      <c r="CN97" s="1162">
        <f t="shared" ref="CN97:CV97" si="6">CM97+1</f>
        <v>2014</v>
      </c>
      <c r="CO97" s="1162">
        <f t="shared" si="6"/>
        <v>2015</v>
      </c>
      <c r="CP97" s="1162">
        <f t="shared" si="6"/>
        <v>2016</v>
      </c>
      <c r="CQ97" s="1162">
        <f t="shared" si="6"/>
        <v>2017</v>
      </c>
      <c r="CR97" s="1162">
        <f t="shared" si="6"/>
        <v>2018</v>
      </c>
      <c r="CS97" s="1162">
        <f t="shared" si="6"/>
        <v>2019</v>
      </c>
      <c r="CT97" s="1162">
        <f t="shared" si="6"/>
        <v>2020</v>
      </c>
      <c r="CU97" s="1162">
        <f t="shared" si="6"/>
        <v>2021</v>
      </c>
      <c r="CV97" s="1162">
        <f t="shared" si="6"/>
        <v>2022</v>
      </c>
      <c r="CW97" s="1162"/>
      <c r="CX97" s="1162"/>
      <c r="CY97" s="1162"/>
      <c r="CZ97" s="834"/>
      <c r="DA97" s="834"/>
      <c r="DB97" s="834"/>
      <c r="DC97" s="834"/>
      <c r="DD97" s="839"/>
      <c r="DE97" s="1098"/>
      <c r="DF97" s="1098"/>
      <c r="DG97" s="1098"/>
      <c r="DH97" s="1098"/>
      <c r="DI97" s="1098"/>
      <c r="DJ97" s="1098"/>
      <c r="DK97" s="1098"/>
      <c r="DL97" s="1098"/>
      <c r="DM97" s="1098"/>
      <c r="DN97" s="1098"/>
      <c r="DO97" s="1098"/>
    </row>
    <row r="98" spans="1:119" s="1086" customFormat="1">
      <c r="A98" s="1086" t="s">
        <v>405</v>
      </c>
      <c r="Y98" s="1113">
        <v>1</v>
      </c>
      <c r="Z98" s="1162" t="s">
        <v>379</v>
      </c>
      <c r="AA98" s="1162">
        <f>IF(1*ISERROR(VLOOKUP(Z98,C46:Y55,23,FALSE))=1,0,VLOOKUP(Z98,C46:Y55,23,FALSE))</f>
        <v>2</v>
      </c>
      <c r="AB98" s="1162">
        <f>IF(1*ISERROR(VLOOKUP(Z98,E46:Y55,21,FALSE))=1,0,VLOOKUP(Z98,E46:Y55,21,FALSE))</f>
        <v>2</v>
      </c>
      <c r="AC98" s="1162">
        <f>IF(1*ISERROR(VLOOKUP(Z98,G46:Y55,19,FALSE))=1,0,VLOOKUP(Z98,G46:Y55,19,FALSE))</f>
        <v>3</v>
      </c>
      <c r="AD98" s="1162">
        <f>IF(1*ISERROR(VLOOKUP(Z98,I46:Y55,17,FALSE))=1,0,VLOOKUP(Z98,I46:Y55,17,FALSE))</f>
        <v>4</v>
      </c>
      <c r="AE98" s="1162">
        <f>IF(1*ISERROR(VLOOKUP(Z98,K46:Y55,15,FALSE))=1,0,VLOOKUP(Z98,K46:Y55,15,FALSE))</f>
        <v>4</v>
      </c>
      <c r="AF98" s="1162">
        <f>IF(1*ISERROR(VLOOKUP(Z98,M46:Y55,13,FALSE))=1,0,VLOOKUP(Z98,M46:Y55,13,FALSE))</f>
        <v>4</v>
      </c>
      <c r="AG98" s="1162">
        <f>IF(1*ISERROR(VLOOKUP(Z98,O46:Y55,11,FALSE))=1,0,VLOOKUP(Z98,O46:Y55,11,FALSE))</f>
        <v>4</v>
      </c>
      <c r="AH98" s="1162">
        <f>IF(1*ISERROR(VLOOKUP(Z98,Q46:Y55,9,FALSE))=1,0,VLOOKUP(Z98,Q46:Y55,9,FALSE))</f>
        <v>4</v>
      </c>
      <c r="AI98" s="1162">
        <f>IF(1*ISERROR(VLOOKUP(Z98,S46:Y55,7,FALSE))=1,0,VLOOKUP(Z98,S46:Y55,7,FALSE))</f>
        <v>4</v>
      </c>
      <c r="AJ98" s="1162">
        <f>IF(1*ISERROR(VLOOKUP(Z98,U45:Y54,5,FALSE))=1,0,VLOOKUP(Z98,U45:Y54,5,FALSE))</f>
        <v>4</v>
      </c>
      <c r="AK98" s="1162">
        <f>IF(1*ISERROR(VLOOKUP(Z98,U45:Z55,5,FALSE))=1,0,VLOOKUP(Z98,U45:Z55,5,FALSE))</f>
        <v>4</v>
      </c>
      <c r="AL98" s="1162">
        <f>SUM(AA98:AK98)</f>
        <v>39</v>
      </c>
      <c r="AM98" s="1162">
        <f>IF(AL98=0,35,_xlfn.RANK.EQ(AL98,AL98:AL132))</f>
        <v>8</v>
      </c>
      <c r="AN98" s="1162">
        <f>IF(AM98=35,35,AM98)</f>
        <v>8</v>
      </c>
      <c r="AO98" s="1162">
        <f>_xlfn.RANK.EQ(AN98,AN$98:AN$132,1)</f>
        <v>8</v>
      </c>
      <c r="AP98" s="1162" t="s">
        <v>379</v>
      </c>
      <c r="AQ98" s="1162">
        <f>IF(1*ISERROR(VLOOKUP(Z98,C56:Y65,23,FALSE)-10)=1,0,VLOOKUP(Z98,C56:Y65,23,FALSE)-10)</f>
        <v>1</v>
      </c>
      <c r="AR98" s="1162">
        <f>IF(1*ISERROR(VLOOKUP(Z98,E56:Y65,21,FALSE)-10)=1,0,VLOOKUP(Z98,E56:Y65,21,FALSE)-10)</f>
        <v>1</v>
      </c>
      <c r="AS98" s="1162">
        <f>IF(1*ISERROR(VLOOKUP(Z98,G56:Y65,19,FALSE)-10)=1,0,VLOOKUP(Z98,G56:Y65,19,FALSE)-10)</f>
        <v>1</v>
      </c>
      <c r="AT98" s="1162">
        <f>IF(1*ISERROR(VLOOKUP(Z98,I56:Y65,17,FALSE)-10)=1,0,VLOOKUP(Z98,I56:Y65,17,FALSE)-10)</f>
        <v>1</v>
      </c>
      <c r="AU98" s="1162">
        <f>IF(1*ISERROR(VLOOKUP(Z98,K56:Y65,15,FALSE)-10)=1,0,VLOOKUP(Z98,K56:Y65,15,FALSE)-10)</f>
        <v>1</v>
      </c>
      <c r="AV98" s="1162">
        <f>IF(1*ISERROR(VLOOKUP(Z98,M56:Y65,13,FALSE)-10)=1,0,VLOOKUP(Z98,M56:Y65,13,FALSE)-10)</f>
        <v>1</v>
      </c>
      <c r="AW98" s="1162">
        <f>IF(1*ISERROR(VLOOKUP(Z98,O56:Y65,11,FALSE)-10)=1,0,VLOOKUP(Z98,O56:Y65,11,FALSE)-10)</f>
        <v>1</v>
      </c>
      <c r="AX98" s="1162">
        <f>IF(1*ISERROR(VLOOKUP(Z98,Q56:Y65,9,FALSE)-10)=1,0,VLOOKUP(Z98,Q56:Y65,9,FALSE)-10)</f>
        <v>1</v>
      </c>
      <c r="AY98" s="1162">
        <f>IF(1*ISERROR(VLOOKUP(Z98,S56:Y65,7,FALSE)-10)=1,0,VLOOKUP(Z98,S56:Y65,7,FALSE)-10)</f>
        <v>1</v>
      </c>
      <c r="AZ98" s="1163">
        <f>IF(1*ISERROR(VLOOKUP(Z98,U56:Y65,5,FALSE)-10)=1,0,VLOOKUP(Z98,U56:Y65,5,FALSE)-10)</f>
        <v>1</v>
      </c>
      <c r="BA98" s="1162">
        <f>SUM(AQ98:AZ98)</f>
        <v>10</v>
      </c>
      <c r="BB98" s="1162">
        <f>IF(BA98=0,35,_xlfn.RANK.EQ(BA98,BA98:BA132))</f>
        <v>11</v>
      </c>
      <c r="BC98" s="1162">
        <f>IF(BB98=35,35,BB98)</f>
        <v>11</v>
      </c>
      <c r="BD98" s="1162">
        <f>_xlfn.RANK.EQ(BC98,BC$98:BC$132,1)</f>
        <v>11</v>
      </c>
      <c r="BE98" s="1162" t="s">
        <v>379</v>
      </c>
      <c r="BF98" s="1162">
        <f>IF(1*ISERROR(VLOOKUP(Z98,C66:Y75,23,FALSE)-20)=1,0,VLOOKUP(Z98,C66:Y75,23,FALSE)-20)</f>
        <v>1</v>
      </c>
      <c r="BG98" s="1162">
        <f>IF(1*ISERROR(VLOOKUP(Z98,E66:Y75,21,FALSE)-20)=1,0,VLOOKUP(Z98,E66:Y75,21,FALSE)-20)</f>
        <v>1</v>
      </c>
      <c r="BH98" s="1162">
        <f>IF(1*ISERROR(VLOOKUP(Z98,G66:Y75,19,FALSE)-20)=1,0,VLOOKUP(Z98,G66:Y75,19,FALSE)-20)</f>
        <v>1</v>
      </c>
      <c r="BI98" s="1162">
        <f>IF(1*ISERROR(VLOOKUP(Z98,I66:Y75,17,FALSE)-20)=1,0,VLOOKUP(Z98,I66:Y75,17,FALSE)-20)</f>
        <v>1</v>
      </c>
      <c r="BJ98" s="1162">
        <f>IF(1*ISERROR(VLOOKUP(Z98,K66:Y75,15,FALSE)-20)=1,0,VLOOKUP(Z98,K66:Y75,15,FALSE)-20)</f>
        <v>1</v>
      </c>
      <c r="BK98" s="1162">
        <f>IF(1*ISERROR(VLOOKUP(Z98,M66:Y75,13,FALSE)-20)=1,0,VLOOKUP(Z98,M66:Y75,13,FALSE)-20)</f>
        <v>1</v>
      </c>
      <c r="BL98" s="1162">
        <f>IF(1*ISERROR(VLOOKUP(Z98,O66:Y75,11,FALSE)-20)=1,0,VLOOKUP(Z98,O66:Y75,11,FALSE)-20)</f>
        <v>1</v>
      </c>
      <c r="BM98" s="1162">
        <f>IF(1*ISERROR(VLOOKUP(Z98,Q66:Y75,9,FALSE)-20)=1,0,VLOOKUP(Z98,Q66:Y75,9,FALSE)-20)</f>
        <v>1</v>
      </c>
      <c r="BN98" s="1162">
        <f>IF(1*ISERROR(VLOOKUP(Z98,S66:Y75,7,FALSE)-20)=1,0,VLOOKUP(Z98,S66:Y75,7,FALSE)-20)</f>
        <v>1</v>
      </c>
      <c r="BO98" s="1162">
        <f>IF(1*ISERROR(VLOOKUP(Z98,U66:Y75,5,FALSE)-20)=1,0,VLOOKUP(Z98,U66:Y75,5,FALSE)-20)</f>
        <v>1</v>
      </c>
      <c r="BP98" s="1162">
        <f>IF(1*ISERROR(VLOOKUP(Z98,U66:Z75,5,FALSE)-20)=1,0,VLOOKUP(Z98,U66:Z75,5,FALSE)-20)</f>
        <v>1</v>
      </c>
      <c r="BQ98" s="1162">
        <f>SUM(BF98:BP98)</f>
        <v>11</v>
      </c>
      <c r="BR98" s="1162">
        <f>IF(BQ98=0,35,_xlfn.RANK.EQ(BQ98,BQ98:BQ132))</f>
        <v>11</v>
      </c>
      <c r="BS98" s="1162">
        <f>IF(BR98=35,35,BR98)</f>
        <v>11</v>
      </c>
      <c r="BT98" s="1162">
        <f>_xlfn.RANK.EQ(BS98,BS$98:BS$132,1)</f>
        <v>11</v>
      </c>
      <c r="BU98" s="1162" t="s">
        <v>379</v>
      </c>
      <c r="BV98" s="1162">
        <f>IF(1*ISERROR(VLOOKUP(Z98,C76:Y85,23,FALSE)-30)=1,0,VLOOKUP(Z98,C76:Y85,23,FALSE)-30)</f>
        <v>1</v>
      </c>
      <c r="BW98" s="1162">
        <f>IF(1*ISERROR(VLOOKUP(Z98,E76:Y85,21,FALSE)-30)=1,0,VLOOKUP(Z98,E76:Y85,21,FALSE)-30)</f>
        <v>1</v>
      </c>
      <c r="BX98" s="1162">
        <f>IF(1*ISERROR(VLOOKUP(Z98,G76:Y85,19,FALSE)-30)=1,0,VLOOKUP(Z98,G76:Y85,19,FALSE)-30)</f>
        <v>1</v>
      </c>
      <c r="BY98" s="1162">
        <f>IF(1*ISERROR(VLOOKUP(Z98,I76:Y85,17,FALSE)-30)=1,0,VLOOKUP(Z98,I76:Y85,17,FALSE)-30)</f>
        <v>1</v>
      </c>
      <c r="BZ98" s="1162">
        <f>IF(1*ISERROR(VLOOKUP(Z98,K76:Y85,15,FALSE)-30)=1,0,VLOOKUP(Z98,K76:Y85,15,FALSE)-30)</f>
        <v>1</v>
      </c>
      <c r="CA98" s="1162">
        <f>IF(1*ISERROR(VLOOKUP(Z98,M76:Y85,13,FALSE)-30)=1,0,VLOOKUP(Z98,M76:Y85,13,FALSE)-30)</f>
        <v>2</v>
      </c>
      <c r="CB98" s="1162">
        <f>IF(1*ISERROR(VLOOKUP(Z98,O76:Y85,11,FALSE)-30)=1,0,VLOOKUP(Z98,O76:Y85,11,FALSE)-30)</f>
        <v>2</v>
      </c>
      <c r="CC98" s="1162">
        <f>IF(1*ISERROR(VLOOKUP(Z98,Q76:Y85,9,FALSE)-30)=1,0,VLOOKUP(Z98,Q76:Y85,9,FALSE)-30)</f>
        <v>3</v>
      </c>
      <c r="CD98" s="1162">
        <f>IF(1*ISERROR(VLOOKUP(Z98,S76:Y85,7,FALSE)-30)=1,0,VLOOKUP(Z98,S76:Y85,7,FALSE)-30)</f>
        <v>3</v>
      </c>
      <c r="CE98" s="1162">
        <f>IF(1*ISERROR(VLOOKUP(Z98,U76:Y85,5,FALSE)-30)=1,0,VLOOKUP(Z98,U76:Y85,5,FALSE)-30)</f>
        <v>3</v>
      </c>
      <c r="CF98" s="1163">
        <f>IF(1*ISERROR(VLOOKUP(Z98,U76:Z85,5,FALSE)-30)=1,0,VLOOKUP(Z98,U76:Z85,5,FALSE)-30)</f>
        <v>3</v>
      </c>
      <c r="CG98" s="1162">
        <f>SUM(BV98:CE98)</f>
        <v>18</v>
      </c>
      <c r="CH98" s="1162">
        <f>IF(CG98=0,35,_xlfn.RANK.EQ(CG98,CG$98:CG$132))</f>
        <v>11</v>
      </c>
      <c r="CI98" s="1162">
        <f>IF(CH98=35,35,CH98)</f>
        <v>11</v>
      </c>
      <c r="CJ98" s="1162">
        <f>_xlfn.RANK.EQ(CI98,CI$98:CI$132,1)</f>
        <v>11</v>
      </c>
      <c r="CK98" s="1162" t="s">
        <v>379</v>
      </c>
      <c r="CL98" s="1162">
        <f>IF(1*ISERROR(VLOOKUP(Z98,C86:Y95,23,FALSE)-40)=1,0,VLOOKUP(Z98,C86:Y95,23,FALSE)-40)</f>
        <v>5</v>
      </c>
      <c r="CM98" s="1162">
        <f>IF(1*ISERROR(VLOOKUP(Z98,E86:Y95,21,FALSE)-40)=1,0,VLOOKUP(Z98,E86:Y95,21,FALSE)-40)</f>
        <v>4</v>
      </c>
      <c r="CN98" s="1162">
        <f>IF(1*ISERROR(VLOOKUP(Z98,G86:Y95,19,FALSE)-40)=1,0,VLOOKUP(Z98,G86:Y95,19,FALSE)-40)</f>
        <v>4</v>
      </c>
      <c r="CO98" s="1162">
        <f>IF(1*ISERROR(VLOOKUP(Z98,I86:Y95,17,FALSE)-40)=1,0,VLOOKUP(Z98,I86:Y95,17,FALSE)-40)</f>
        <v>4</v>
      </c>
      <c r="CP98" s="1162">
        <f>IF(1*ISERROR(VLOOKUP(Z98,K86:Y95,15,FALSE)-40)=1,0,VLOOKUP(Z98,K86:Y95,15,FALSE)-40)</f>
        <v>4</v>
      </c>
      <c r="CQ98" s="1162">
        <f>IF(1*ISERROR(VLOOKUP(Z98,M86:Y95,13,FALSE)-40)=1,0,VLOOKUP(Z98,M86:Y95,13,FALSE)-40)</f>
        <v>4</v>
      </c>
      <c r="CR98" s="1162">
        <f>IF(1*ISERROR(VLOOKUP(Z98,O86:Y95,11,FALSE)-40)=1,0,VLOOKUP(Z98,O86:Y95,11,FALSE)-40)</f>
        <v>4</v>
      </c>
      <c r="CS98" s="1162">
        <f>IF(1*ISERROR(VLOOKUP(Z98,Q86:Y95,9,FALSE)-40)=1,0,VLOOKUP(Z98,Q86:Y95,9,FALSE)-40)</f>
        <v>4</v>
      </c>
      <c r="CT98" s="1162">
        <f>IF(1*ISERROR(VLOOKUP(Z98,S86:Y95,7,FALSE)-40)=1,0,VLOOKUP(Z98,S86:Y95,7,FALSE)-40)</f>
        <v>4</v>
      </c>
      <c r="CU98" s="1162">
        <f>IF(1*ISERROR(VLOOKUP(Z98,U86:Y95,5,FALSE)-40)=1,0,VLOOKUP(Z98,U86:Y95,5,FALSE)-40)</f>
        <v>4</v>
      </c>
      <c r="CV98" s="1162">
        <v>4</v>
      </c>
      <c r="CW98" s="1162">
        <f>SUM(CL98:CV98)</f>
        <v>45</v>
      </c>
      <c r="CX98" s="1162">
        <f>IF(CW98=0,35,_xlfn.RANK.EQ(CW98,CW98:CW132))</f>
        <v>8</v>
      </c>
      <c r="CY98" s="1162">
        <f>IF(CX98=35,35,CX98)</f>
        <v>8</v>
      </c>
      <c r="CZ98" s="1162">
        <f>_xlfn.RANK.EQ(CY98,CY$98:CY$132,1)</f>
        <v>8</v>
      </c>
      <c r="DA98" s="1162" t="s">
        <v>379</v>
      </c>
      <c r="DB98" s="834"/>
      <c r="DC98" s="834"/>
      <c r="DD98" s="839"/>
      <c r="DE98" s="1098"/>
      <c r="DF98" s="1098"/>
      <c r="DG98" s="1098"/>
      <c r="DH98" s="1098"/>
      <c r="DI98" s="1098"/>
      <c r="DJ98" s="1098"/>
      <c r="DK98" s="1098"/>
      <c r="DL98" s="1098"/>
      <c r="DM98" s="1098"/>
      <c r="DN98" s="1098"/>
      <c r="DO98" s="1098"/>
    </row>
    <row r="99" spans="1:119" s="1086" customFormat="1">
      <c r="Y99" s="1113">
        <f t="shared" ref="Y99:Y117" si="7">Y98+1</f>
        <v>2</v>
      </c>
      <c r="Z99" s="1162" t="s">
        <v>392</v>
      </c>
      <c r="AA99" s="1162">
        <f>IF(1*ISERROR(VLOOKUP(Z99,C46:Y55,23,FALSE))=1,0,VLOOKUP(Z99,C46:Y55,23,FALSE))</f>
        <v>0</v>
      </c>
      <c r="AB99" s="1162">
        <f>IF(1*ISERROR(VLOOKUP(Z99,E46:Y55,21,FALSE))=1,0,VLOOKUP(Z99,E46:Y55,21,FALSE))</f>
        <v>0</v>
      </c>
      <c r="AC99" s="1162">
        <f>IF(1*ISERROR(VLOOKUP(Z99,G46:Y55,19,FALSE))=1,0,VLOOKUP(Z99,G46:Y55,19,FALSE))</f>
        <v>0</v>
      </c>
      <c r="AD99" s="1162">
        <f>IF(1*ISERROR(VLOOKUP(Z99,I46:Y55,17,FALSE))=1,0,VLOOKUP(Z99,I46:Y55,17,FALSE))</f>
        <v>0</v>
      </c>
      <c r="AE99" s="1162">
        <f>IF(1*ISERROR(VLOOKUP(Z99,K46:Y55,15,FALSE))=1,0,VLOOKUP(Z99,K46:Y55,15,FALSE))</f>
        <v>0</v>
      </c>
      <c r="AF99" s="1162">
        <f>IF(1*ISERROR(VLOOKUP(Z99,M46:Y55,13,FALSE))=1,0,VLOOKUP(Z99,M46:Y55,13,FALSE))</f>
        <v>0</v>
      </c>
      <c r="AG99" s="1162">
        <f>IF(1*ISERROR(VLOOKUP(Z99,O46:Y55,11,FALSE))=1,0,VLOOKUP(Z99,O46:Y55,11,FALSE))</f>
        <v>0</v>
      </c>
      <c r="AH99" s="1162">
        <f>IF(1*ISERROR(VLOOKUP(Z99,Q46:Y55,9,FALSE))=1,0,VLOOKUP(Z99,Q46:Y55,9,FALSE))</f>
        <v>0</v>
      </c>
      <c r="AI99" s="1162">
        <f>IF(1*ISERROR(VLOOKUP(Z99,S46:Y55,7,FALSE))=1,0,VLOOKUP(Z99,S46:Y55,7,FALSE))</f>
        <v>0</v>
      </c>
      <c r="AJ99" s="1162">
        <f>IF(1*ISERROR(VLOOKUP(Z99,U46:Y55,5,FALSE))=1,0,VLOOKUP(Z99,U46:Y55,5,FALSE))</f>
        <v>0</v>
      </c>
      <c r="AK99" s="1162">
        <f>IF(1*ISERROR(VLOOKUP(Z99,U46:Z56,5,FALSE))=1,0,VLOOKUP(Z99,U46:Z56,5,FALSE))</f>
        <v>0</v>
      </c>
      <c r="AL99" s="1162">
        <f t="shared" ref="AL99:AL132" si="8">SUM(AA99:AK99)</f>
        <v>0</v>
      </c>
      <c r="AM99" s="1162">
        <f>IF(AL99=0,35,_xlfn.RANK.EQ(AL99,AL98:AL132))</f>
        <v>35</v>
      </c>
      <c r="AN99" s="1162">
        <f>IF(AM99=35,35,AM99+COUNTIF(AM$98:AM98,AM99)/COUNTIF(AM$98:AM$132,AM99))</f>
        <v>35</v>
      </c>
      <c r="AO99" s="1162">
        <f t="shared" ref="AO99:AO132" si="9">_xlfn.RANK.EQ(AN99,AN$98:AN$132,1)</f>
        <v>13</v>
      </c>
      <c r="AP99" s="1162" t="s">
        <v>392</v>
      </c>
      <c r="AQ99" s="1162">
        <f>IF(1*ISERROR(VLOOKUP(Z99,C56:Y65,23,FALSE)-10)=1,0,VLOOKUP(Z99,C56:Y65,23,FALSE)-10)</f>
        <v>5</v>
      </c>
      <c r="AR99" s="1162">
        <f>IF(1*ISERROR(VLOOKUP(Z99,E56:Y65,21,FALSE)-10)=1,0,VLOOKUP(Z99,E56:Y65,21,FALSE)-10)</f>
        <v>5</v>
      </c>
      <c r="AS99" s="1162">
        <f>IF(1*ISERROR(VLOOKUP(Z99,G56:Y65,19,FALSE)-10)=1,0,VLOOKUP(Z99,G56:Y65,19,FALSE)-10)</f>
        <v>9</v>
      </c>
      <c r="AT99" s="1162">
        <f>IF(1*ISERROR(VLOOKUP(Z99,I56:Y65,17,FALSE)-10)=1,0,VLOOKUP(Z99,I56:Y65,17,FALSE)-10)</f>
        <v>9</v>
      </c>
      <c r="AU99" s="1162">
        <f>IF(1*ISERROR(VLOOKUP(Z99,K56:Y65,15,FALSE)-10)=1,0,VLOOKUP(Z99,K56:Y65,15,FALSE)-10)</f>
        <v>8</v>
      </c>
      <c r="AV99" s="1162">
        <f>IF(1*ISERROR(VLOOKUP(Z99,M56:Y65,13,FALSE)-10)=1,0,VLOOKUP(Z99,M56:Y65,13,FALSE)-10)</f>
        <v>9</v>
      </c>
      <c r="AW99" s="1162">
        <f>IF(1*ISERROR(VLOOKUP(Z99,O56:Y65,11,FALSE)-10)=1,0,VLOOKUP(Z99,O56:Y65,11,FALSE)-10)</f>
        <v>9</v>
      </c>
      <c r="AX99" s="1162">
        <f>IF(1*ISERROR(VLOOKUP(Z99,Q56:Y65,9,FALSE)-10)=1,0,VLOOKUP(Z99,Q56:Y65,9,FALSE)-10)</f>
        <v>10</v>
      </c>
      <c r="AY99" s="1162">
        <f>IF(1*ISERROR(VLOOKUP(Z99,S56:Y65,7,FALSE)-10)=1,0,VLOOKUP(Z99,S56:Y65,7,FALSE)-10)</f>
        <v>10</v>
      </c>
      <c r="AZ99" s="1163">
        <f>IF(1*ISERROR(VLOOKUP(Z99,U56:Y65,5,FALSE)-10)=1,0,VLOOKUP(Z99,U56:Y65,5,FALSE)-10)</f>
        <v>9</v>
      </c>
      <c r="BA99" s="1162">
        <f t="shared" ref="BA99:BA132" si="10">SUM(AQ99:AZ99)</f>
        <v>83</v>
      </c>
      <c r="BB99" s="1162">
        <f>IF(BA99=0,35,_xlfn.RANK.EQ(BA99,BA98:BA132))</f>
        <v>1</v>
      </c>
      <c r="BC99" s="1162">
        <f>IF(BB99=35,35,BB99+COUNTIF(BB$98:BB98,BB99)/COUNTIF(BB$98:BB$132,BB99))</f>
        <v>1</v>
      </c>
      <c r="BD99" s="1162">
        <f t="shared" ref="BD99:BD132" si="11">_xlfn.RANK.EQ(BC99,BC$98:BC$132,1)</f>
        <v>1</v>
      </c>
      <c r="BE99" s="1162" t="s">
        <v>392</v>
      </c>
      <c r="BF99" s="1162">
        <f>IF(1*ISERROR(VLOOKUP(Z99,C66:Y75,23,FALSE)-20)=1,0,VLOOKUP(Z99,C66:Y75,23,FALSE)-20)</f>
        <v>8</v>
      </c>
      <c r="BG99" s="1162">
        <f>IF(1*ISERROR(VLOOKUP(Z99,E66:Y75,21,FALSE)-20)=1,0,VLOOKUP(Z99,E66:Y75,21,FALSE)-20)</f>
        <v>8</v>
      </c>
      <c r="BH99" s="1162">
        <f>IF(1*ISERROR(VLOOKUP(Z99,G66:Y75,19,FALSE)-20)=1,0,VLOOKUP(Z99,G66:Y75,19,FALSE)-20)</f>
        <v>0</v>
      </c>
      <c r="BI99" s="1162">
        <f>IF(1*ISERROR(VLOOKUP(Z99,I66:Y75,17,FALSE)-20)=1,0,VLOOKUP(Z99,I66:Y75,17,FALSE)-20)</f>
        <v>10</v>
      </c>
      <c r="BJ99" s="1162">
        <f>IF(1*ISERROR(VLOOKUP(Z99,K66:Y75,15,FALSE)-20)=1,0,VLOOKUP(Z99,K66:Y75,15,FALSE)-20)</f>
        <v>0</v>
      </c>
      <c r="BK99" s="1162">
        <f>IF(1*ISERROR(VLOOKUP(Z99,M66:Y75,13,FALSE)-20)=1,0,VLOOKUP(Z99,M66:Y75,13,FALSE)-20)</f>
        <v>0</v>
      </c>
      <c r="BL99" s="1162">
        <f>IF(1*ISERROR(VLOOKUP(Z99,O66:Y75,11,FALSE)-20)=1,0,VLOOKUP(Z99,O66:Y75,11,FALSE)-20)</f>
        <v>0</v>
      </c>
      <c r="BM99" s="1162">
        <f>IF(1*ISERROR(VLOOKUP(Z99,Q66:Y75,9,FALSE)-20)=1,0,VLOOKUP(Z99,Q66:Y75,9,FALSE)-20)</f>
        <v>0</v>
      </c>
      <c r="BN99" s="1162">
        <f>IF(1*ISERROR(VLOOKUP(Z99,S66:Y75,7,FALSE)-20)=1,0,VLOOKUP(Z99,S66:Y75,7,FALSE)-20)</f>
        <v>0</v>
      </c>
      <c r="BO99" s="1162">
        <f>IF(1*ISERROR(VLOOKUP(Z99,U66:Y75,5,FALSE)-20)=1,0,VLOOKUP(Z99,U66:Y75,5,FALSE)-20)</f>
        <v>0</v>
      </c>
      <c r="BP99" s="1163">
        <v>9</v>
      </c>
      <c r="BQ99" s="1162">
        <f t="shared" ref="BQ99:BQ132" si="12">SUM(BF99:BP99)</f>
        <v>35</v>
      </c>
      <c r="BR99" s="1162">
        <f>IF(BQ99=0,35,_xlfn.RANK.EQ(BQ99,BQ98:BQ132))</f>
        <v>9</v>
      </c>
      <c r="BS99" s="1162">
        <f>IF(BR99=35,35,BR99+COUNTIF(BR$98:BR98,BR99)/COUNTIF(BR$98:BR$132,BR99))</f>
        <v>9</v>
      </c>
      <c r="BT99" s="1162">
        <f t="shared" ref="BT99:BT132" si="13">_xlfn.RANK.EQ(BS99,BS$98:BS$132,1)</f>
        <v>9</v>
      </c>
      <c r="BU99" s="1162" t="s">
        <v>392</v>
      </c>
      <c r="BV99" s="1162">
        <f>IF(1*ISERROR(VLOOKUP(Z99,C76:Y85,23,FALSE)-30)=1,0,VLOOKUP(Z99,C76:Y85,23,FALSE)-30)</f>
        <v>0</v>
      </c>
      <c r="BW99" s="1162">
        <f>IF(1*ISERROR(VLOOKUP(Z99,E76:Y85,21,FALSE)-30)=1,0,VLOOKUP(Z99,E76:Y85,21,FALSE)-30)</f>
        <v>0</v>
      </c>
      <c r="BX99" s="1162">
        <f>IF(1*ISERROR(VLOOKUP(Z99,G76:Y85,19,FALSE)-30)=1,0,VLOOKUP(Z99,G76:Y85,19,FALSE)-30)</f>
        <v>0</v>
      </c>
      <c r="BY99" s="1162">
        <f>IF(1*ISERROR(VLOOKUP(Z99,I76:Y85,17,FALSE)-30)=1,0,VLOOKUP(Z99,I76:Y85,17,FALSE)-30)</f>
        <v>0</v>
      </c>
      <c r="BZ99" s="1162">
        <f>IF(1*ISERROR(VLOOKUP(Z99,K76:Y85,15,FALSE)-30)=1,0,VLOOKUP(Z99,K76:Y85,15,FALSE)-30)</f>
        <v>0</v>
      </c>
      <c r="CA99" s="1162">
        <f>IF(1*ISERROR(VLOOKUP(Z99,M76:Y85,13,FALSE)-30)=1,0,VLOOKUP(Z99,M76:Y85,13,FALSE)-30)</f>
        <v>0</v>
      </c>
      <c r="CB99" s="1162">
        <f>IF(1*ISERROR(VLOOKUP(Z99,O76:Y85,11,FALSE)-30)=1,0,VLOOKUP(Z99,O76:Y85,11,FALSE)-30)</f>
        <v>0</v>
      </c>
      <c r="CC99" s="1162">
        <f>IF(1*ISERROR(VLOOKUP(Z99,Q76:Y85,9,FALSE)-30)=1,0,VLOOKUP(Z99,Q76:Y85,9,FALSE)-30)</f>
        <v>0</v>
      </c>
      <c r="CD99" s="1162">
        <f>IF(1*ISERROR(VLOOKUP(Z99,S76:Y85,7,FALSE)-30)=1,0,VLOOKUP(Z99,S76:Y85,7,FALSE)-30)</f>
        <v>0</v>
      </c>
      <c r="CE99" s="1162">
        <f>IF(1*ISERROR(VLOOKUP(Z99,U76:Y85,5,FALSE)-30)=1,0,VLOOKUP(Z99,U76:Y85,5,FALSE)-30)</f>
        <v>0</v>
      </c>
      <c r="CF99" s="1163">
        <f>IF(1*ISERROR(VLOOKUP(Z99,U77:Z86,5,FALSE)-30)=1,0,VLOOKUP(Z99,U77:Z86,5,FALSE)-30)</f>
        <v>0</v>
      </c>
      <c r="CG99" s="1162">
        <f t="shared" ref="CG99:CG132" si="14">SUM(BV99:CE99)</f>
        <v>0</v>
      </c>
      <c r="CH99" s="1162">
        <f t="shared" ref="CH99:CH132" si="15">IF(CG99=0,35,_xlfn.RANK.EQ(CG99,CG$98:CG$132))</f>
        <v>35</v>
      </c>
      <c r="CI99" s="1162">
        <f>IF(CH99=35,35,CH99+COUNTIF(CH$98:CH98,CH99)/COUNTIF(CH$98:CH$132,CH99))</f>
        <v>35</v>
      </c>
      <c r="CJ99" s="1162">
        <f t="shared" ref="CJ99:CJ132" si="16">_xlfn.RANK.EQ(CI99,CI$98:CI$132,1)</f>
        <v>20</v>
      </c>
      <c r="CK99" s="1162" t="s">
        <v>392</v>
      </c>
      <c r="CL99" s="1162">
        <f>IF(1*ISERROR(VLOOKUP(Z99,C86:Y95,23,FALSE)-40)=1,0,VLOOKUP(Z99,C86:Y95,23,FALSE)-40)</f>
        <v>3</v>
      </c>
      <c r="CM99" s="1162">
        <f>IF(1*ISERROR(VLOOKUP(Z99,E86:Y95,21,FALSE)-40)=1,0,VLOOKUP(Z99,E86:Y95,21,FALSE)-40)</f>
        <v>5</v>
      </c>
      <c r="CN99" s="1162">
        <f>IF(1*ISERROR(VLOOKUP(Z99,G86:Y95,19,FALSE)-40)=1,0,VLOOKUP(Z99,G86:Y95,19,FALSE)-40)</f>
        <v>6</v>
      </c>
      <c r="CO99" s="1162">
        <f>IF(1*ISERROR(VLOOKUP(Z99,I86:Y95,17,FALSE)-40)=1,0,VLOOKUP(Z99,I86:Y95,17,FALSE)-40)</f>
        <v>6</v>
      </c>
      <c r="CP99" s="1162">
        <f>IF(1*ISERROR(VLOOKUP(Z99,K86:Y95,15,FALSE)-40)=1,0,VLOOKUP(Z99,K86:Y95,15,FALSE)-40)</f>
        <v>6</v>
      </c>
      <c r="CQ99" s="1162">
        <f>IF(1*ISERROR(VLOOKUP(Z99,M86:Y95,13,FALSE)-40)=1,0,VLOOKUP(Z99,M86:Y95,13,FALSE)-40)</f>
        <v>6</v>
      </c>
      <c r="CR99" s="1162">
        <f>IF(1*ISERROR(VLOOKUP(Z99,O86:Y95,11,FALSE)-40)=1,0,VLOOKUP(Z99,O86:Y95,11,FALSE)-40)</f>
        <v>6</v>
      </c>
      <c r="CS99" s="1162">
        <f>IF(1*ISERROR(VLOOKUP(Z99,Q86:Y95,9,FALSE)-40)=1,0,VLOOKUP(Z99,Q86:Y95,9,FALSE)-40)</f>
        <v>6</v>
      </c>
      <c r="CT99" s="1162">
        <f>IF(1*ISERROR(VLOOKUP(Z99,S86:Y95,7,FALSE)-40)=1,0,VLOOKUP(Z99,S86:Y95,7,FALSE)-40)</f>
        <v>7</v>
      </c>
      <c r="CU99" s="1162">
        <f>IF(1*ISERROR(VLOOKUP(Z99,U86:Y95,5,FALSE)-40)=1,0,VLOOKUP(Z99,U86:Y95,5,FALSE)-40)</f>
        <v>7</v>
      </c>
      <c r="CV99" s="1162">
        <v>8</v>
      </c>
      <c r="CW99" s="1162">
        <f t="shared" ref="CW99:CW132" si="17">SUM(CL99:CV99)</f>
        <v>66</v>
      </c>
      <c r="CX99" s="1162">
        <f>IF(CW99=0,35,_xlfn.RANK.EQ(CW99,CW98:CW132))</f>
        <v>3</v>
      </c>
      <c r="CY99" s="1162">
        <f>IF(CX99=35,35,CX99+COUNTIF(CX$98:CX98,CX99)/COUNTIF(CX$98:CX$132,CX99))</f>
        <v>3</v>
      </c>
      <c r="CZ99" s="1162">
        <f t="shared" ref="CZ99:CZ132" si="18">_xlfn.RANK.EQ(CY99,CY$98:CY$132,1)</f>
        <v>3</v>
      </c>
      <c r="DA99" s="1162" t="s">
        <v>392</v>
      </c>
      <c r="DB99" s="834"/>
      <c r="DC99" s="834"/>
      <c r="DD99" s="839"/>
      <c r="DE99" s="1098"/>
      <c r="DF99" s="1098"/>
      <c r="DG99" s="1098"/>
      <c r="DH99" s="1098"/>
      <c r="DI99" s="1098"/>
      <c r="DJ99" s="1098"/>
      <c r="DK99" s="1098"/>
      <c r="DL99" s="1098"/>
      <c r="DM99" s="1098"/>
      <c r="DN99" s="1098"/>
      <c r="DO99" s="1098"/>
    </row>
    <row r="100" spans="1:119" s="1086" customFormat="1">
      <c r="Y100" s="1113">
        <f t="shared" si="7"/>
        <v>3</v>
      </c>
      <c r="Z100" s="1162" t="s">
        <v>403</v>
      </c>
      <c r="AA100" s="1162">
        <f>IF(1*ISERROR(VLOOKUP(Z100,C46:Y55,23,FALSE))=1,0,VLOOKUP(Z100,C46:Y55,23,FALSE))</f>
        <v>0</v>
      </c>
      <c r="AB100" s="1162">
        <f>IF(1*ISERROR(VLOOKUP(Z100,E46:Y55,21,FALSE))=1,0,VLOOKUP(Z100,E46:Y55,21,FALSE))</f>
        <v>0</v>
      </c>
      <c r="AC100" s="1162">
        <f>IF(1*ISERROR(VLOOKUP(Z100,G46:Y55,19,FALSE))=1,0,VLOOKUP(Z100,G46:Y55,19,FALSE))</f>
        <v>0</v>
      </c>
      <c r="AD100" s="1162">
        <f>IF(1*ISERROR(VLOOKUP(Z100,I46:Y55,17,FALSE))=1,0,VLOOKUP(Z100,I46:Y55,17,FALSE))</f>
        <v>0</v>
      </c>
      <c r="AE100" s="1162">
        <f>IF(1*ISERROR(VLOOKUP(Z100,K46:Y55,15,FALSE))=1,0,VLOOKUP(Z100,K46:Y55,15,FALSE))</f>
        <v>0</v>
      </c>
      <c r="AF100" s="1162">
        <f>IF(1*ISERROR(VLOOKUP(Z100,M46:Y55,13,FALSE))=1,0,VLOOKUP(Z100,M46:Y55,13,FALSE))</f>
        <v>0</v>
      </c>
      <c r="AG100" s="1162">
        <f>IF(1*ISERROR(VLOOKUP(Z100,O46:Y55,11,FALSE))=1,0,VLOOKUP(Z100,O46:Y55,11,FALSE))</f>
        <v>0</v>
      </c>
      <c r="AH100" s="1162">
        <f>IF(1*ISERROR(VLOOKUP(Z100,Q46:Y55,9,FALSE))=1,0,VLOOKUP(Z100,Q46:Y55,9,FALSE))</f>
        <v>0</v>
      </c>
      <c r="AI100" s="1162">
        <f>IF(1*ISERROR(VLOOKUP(Z100,S46:Y55,7,FALSE))=1,0,VLOOKUP(Z100,S46:Y55,7,FALSE))</f>
        <v>0</v>
      </c>
      <c r="AJ100" s="1162">
        <f>IF(1*ISERROR(VLOOKUP(Z100,U46:Y55,5,FALSE))=1,0,VLOOKUP(Z100,U46:Y55,5,FALSE))</f>
        <v>0</v>
      </c>
      <c r="AK100" s="1162">
        <f>IF(1*ISERROR(VLOOKUP(Z100,U47:Z57,5,FALSE))=1,0,VLOOKUP(Z100,U47:Z57,5,FALSE))</f>
        <v>0</v>
      </c>
      <c r="AL100" s="1162">
        <f t="shared" si="8"/>
        <v>0</v>
      </c>
      <c r="AM100" s="1162">
        <f>IF(AL100=0,35,_xlfn.RANK.EQ(AL100,AL98:AL132))</f>
        <v>35</v>
      </c>
      <c r="AN100" s="1162">
        <f>IF(AM100=35,35,AM100+COUNTIF(AM$98:AM99,AM100)/COUNTIF(AM$98:AM$132,AM100))</f>
        <v>35</v>
      </c>
      <c r="AO100" s="1162">
        <f t="shared" si="9"/>
        <v>13</v>
      </c>
      <c r="AP100" s="1162" t="s">
        <v>403</v>
      </c>
      <c r="AQ100" s="1162">
        <f>IF(1*ISERROR(VLOOKUP(Z100,C56:Y65,23,FALSE)-10)=1,0,VLOOKUP(Z100,C56:Y65,23,FALSE)-10)</f>
        <v>0</v>
      </c>
      <c r="AR100" s="1162">
        <f>IF(1*ISERROR(VLOOKUP(Z100,E56:Y65,21,FALSE)-10)=1,0,VLOOKUP(Z100,E56:Y65,21,FALSE)-10)</f>
        <v>0</v>
      </c>
      <c r="AS100" s="1162">
        <f>IF(1*ISERROR(VLOOKUP(Z100,G56:Y65,19,FALSE)-10)=1,0,VLOOKUP(Z100,G56:Y65,19,FALSE)-10)</f>
        <v>0</v>
      </c>
      <c r="AT100" s="1162">
        <f>IF(1*ISERROR(VLOOKUP(Z100,I56:Y65,17,FALSE)-10)=1,0,VLOOKUP(Z100,I56:Y65,17,FALSE)-10)</f>
        <v>0</v>
      </c>
      <c r="AU100" s="1162">
        <f>IF(1*ISERROR(VLOOKUP(Z100,K56:Y65,15,FALSE)-10)=1,0,VLOOKUP(Z100,K56:Y65,15,FALSE)-10)</f>
        <v>0</v>
      </c>
      <c r="AV100" s="1162">
        <f>IF(1*ISERROR(VLOOKUP(Z100,M56:Y65,13,FALSE)-10)=1,0,VLOOKUP(Z100,M56:Y65,13,FALSE)-10)</f>
        <v>0</v>
      </c>
      <c r="AW100" s="1162">
        <f>IF(1*ISERROR(VLOOKUP(Z100,O56:Y65,11,FALSE)-10)=1,0,VLOOKUP(Z100,O56:Y65,11,FALSE)-10)</f>
        <v>0</v>
      </c>
      <c r="AX100" s="1162">
        <f>IF(1*ISERROR(VLOOKUP(Z100,Q56:Y65,9,FALSE)-10)=1,0,VLOOKUP(Z100,Q56:Y65,9,FALSE)-10)</f>
        <v>0</v>
      </c>
      <c r="AY100" s="1162">
        <f>IF(1*ISERROR(VLOOKUP(Z100,S56:Y65,7,FALSE)-10)=1,0,VLOOKUP(Z100,S56:Y65,7,FALSE)-10)</f>
        <v>0</v>
      </c>
      <c r="AZ100" s="1163">
        <f>IF(1*ISERROR(VLOOKUP(Z100,U56:Y65,5,FALSE)-10)=1,0,VLOOKUP(Z100,U56:Y65,5,FALSE)-10)</f>
        <v>0</v>
      </c>
      <c r="BA100" s="1162">
        <f t="shared" si="10"/>
        <v>0</v>
      </c>
      <c r="BB100" s="1162">
        <f>IF(BA100=0,35,_xlfn.RANK.EQ(BA100,BA98:BA132))</f>
        <v>35</v>
      </c>
      <c r="BC100" s="1162">
        <f>IF(BB100=35,35,BB100+COUNTIF(BB$98:BB99,BB100)/COUNTIF(BB$98:BB$132,BB100))</f>
        <v>35</v>
      </c>
      <c r="BD100" s="1162">
        <f t="shared" si="11"/>
        <v>13</v>
      </c>
      <c r="BE100" s="1162" t="s">
        <v>403</v>
      </c>
      <c r="BF100" s="1162">
        <f>IF(1*ISERROR(VLOOKUP(Z100,C66:Y75,23,FALSE)-20)=1,0,VLOOKUP(Z100,C66:Y75,23,FALSE)-20)</f>
        <v>0</v>
      </c>
      <c r="BG100" s="1162">
        <f>IF(1*ISERROR(VLOOKUP(Z100,E66:Y75,21,FALSE)-20)=1,0,VLOOKUP(Z100,E66:Y75,21,FALSE)-20)</f>
        <v>0</v>
      </c>
      <c r="BH100" s="1162">
        <f>IF(1*ISERROR(VLOOKUP(Z100,G66:Y75,19,FALSE)-20)=1,0,VLOOKUP(Z100,G66:Y75,19,FALSE)-20)</f>
        <v>0</v>
      </c>
      <c r="BI100" s="1162">
        <f>IF(1*ISERROR(VLOOKUP(Z100,I66:Y75,17,FALSE)-20)=1,0,VLOOKUP(Z100,I66:Y75,17,FALSE)-20)</f>
        <v>0</v>
      </c>
      <c r="BJ100" s="1162">
        <f>IF(1*ISERROR(VLOOKUP(Z100,K66:Y75,15,FALSE)-20)=1,0,VLOOKUP(Z100,K66:Y75,15,FALSE)-20)</f>
        <v>0</v>
      </c>
      <c r="BK100" s="1162">
        <f>IF(1*ISERROR(VLOOKUP(Z100,M66:Y75,13,FALSE)-20)=1,0,VLOOKUP(Z100,M66:Y75,13,FALSE)-20)</f>
        <v>0</v>
      </c>
      <c r="BL100" s="1162">
        <f>IF(1*ISERROR(VLOOKUP(Z100,O66:Y75,11,FALSE)-20)=1,0,VLOOKUP(Z100,O66:Y75,11,FALSE)-20)</f>
        <v>0</v>
      </c>
      <c r="BM100" s="1162">
        <f>IF(1*ISERROR(VLOOKUP(Z100,Q66:Y75,9,FALSE)-20)=1,0,VLOOKUP(Z100,Q66:Y75,9,FALSE)-20)</f>
        <v>0</v>
      </c>
      <c r="BN100" s="1162">
        <f>IF(1*ISERROR(VLOOKUP(Z100,S66:Y75,7,FALSE)-20)=1,0,VLOOKUP(Z100,S66:Y75,7,FALSE)-20)</f>
        <v>0</v>
      </c>
      <c r="BO100" s="1162">
        <f>IF(1*ISERROR(VLOOKUP(Z100,U66:Y75,5,FALSE)-20)=1,0,VLOOKUP(Z100,U66:Y75,5,FALSE)-20)</f>
        <v>0</v>
      </c>
      <c r="BP100" s="1162">
        <f>IF(1*ISERROR(VLOOKUP(Z100,U68:Z77,5,FALSE)-20)=1,0,VLOOKUP(Z100,U68:Z77,5,FALSE)-20)</f>
        <v>0</v>
      </c>
      <c r="BQ100" s="1162">
        <f t="shared" si="12"/>
        <v>0</v>
      </c>
      <c r="BR100" s="1162">
        <f>IF(BQ100=0,35,_xlfn.RANK.EQ(BQ100,BQ98:BQ132))</f>
        <v>35</v>
      </c>
      <c r="BS100" s="1162">
        <f>IF(BR100=35,35,BR100+COUNTIF(BR$98:BR99,BR100)/COUNTIF(BR$98:BR$132,BR100))</f>
        <v>35</v>
      </c>
      <c r="BT100" s="1162">
        <f t="shared" si="13"/>
        <v>13</v>
      </c>
      <c r="BU100" s="1162" t="s">
        <v>403</v>
      </c>
      <c r="BV100" s="1162">
        <f>IF(1*ISERROR(VLOOKUP(Z100,C76:Y85,23,FALSE)-30)=1,0,VLOOKUP(Z100,C76:Y85,23,FALSE)-30)</f>
        <v>0</v>
      </c>
      <c r="BW100" s="1162">
        <f>IF(1*ISERROR(VLOOKUP(Z100,E76:Y85,21,FALSE)-30)=1,0,VLOOKUP(Z100,E76:Y85,21,FALSE)-30)</f>
        <v>0</v>
      </c>
      <c r="BX100" s="1162">
        <f>IF(1*ISERROR(VLOOKUP(Z100,G76:Y85,19,FALSE)-30)=1,0,VLOOKUP(Z100,G76:Y85,19,FALSE)-30)</f>
        <v>0</v>
      </c>
      <c r="BY100" s="1162">
        <f>IF(1*ISERROR(VLOOKUP(Z100,I76:Y85,17,FALSE)-30)=1,0,VLOOKUP(Z100,I76:Y85,17,FALSE)-30)</f>
        <v>0</v>
      </c>
      <c r="BZ100" s="1162">
        <f>IF(1*ISERROR(VLOOKUP(Z100,K76:Y85,15,FALSE)-30)=1,0,VLOOKUP(Z100,K76:Y85,15,FALSE)-30)</f>
        <v>0</v>
      </c>
      <c r="CA100" s="1162">
        <f>IF(1*ISERROR(VLOOKUP(Z100,M76:Y85,13,FALSE)-30)=1,0,VLOOKUP(Z100,M76:Y85,13,FALSE)-30)</f>
        <v>0</v>
      </c>
      <c r="CB100" s="1162">
        <f>IF(1*ISERROR(VLOOKUP(Z100,O76:Y85,11,FALSE)-30)=1,0,VLOOKUP(Z100,O76:Y85,11,FALSE)-30)</f>
        <v>0</v>
      </c>
      <c r="CC100" s="1162">
        <f>IF(1*ISERROR(VLOOKUP(Z100,Q76:Y85,9,FALSE)-30)=1,0,VLOOKUP(Z100,Q76:Y85,9,FALSE)-30)</f>
        <v>0</v>
      </c>
      <c r="CD100" s="1162">
        <f>IF(1*ISERROR(VLOOKUP(Z100,S76:Y85,7,FALSE)-30)=1,0,VLOOKUP(Z100,S76:Y85,7,FALSE)-30)</f>
        <v>0</v>
      </c>
      <c r="CE100" s="1162">
        <f>IF(1*ISERROR(VLOOKUP(Z100,U76:Y85,5,FALSE)-30)=1,0,VLOOKUP(Z100,U76:Y85,5,FALSE)-30)</f>
        <v>0</v>
      </c>
      <c r="CF100" s="1163">
        <f>IF(1*ISERROR(VLOOKUP(Z100,U78:Z87,5,FALSE)-30)=1,0,VLOOKUP(Z100,U78:Z87,5,FALSE)-30)</f>
        <v>0</v>
      </c>
      <c r="CG100" s="1162">
        <f t="shared" si="14"/>
        <v>0</v>
      </c>
      <c r="CH100" s="1162">
        <f t="shared" si="15"/>
        <v>35</v>
      </c>
      <c r="CI100" s="1162">
        <f>IF(CH100=35,35,CH100+COUNTIF(CH$98:CH99,CH100)/COUNTIF(CH$98:CH$132,CH100))</f>
        <v>35</v>
      </c>
      <c r="CJ100" s="1162">
        <f t="shared" si="16"/>
        <v>20</v>
      </c>
      <c r="CK100" s="1162" t="s">
        <v>403</v>
      </c>
      <c r="CL100" s="1162">
        <f>IF(1*ISERROR(VLOOKUP(Z100,C86:Y95,23,FALSE)-40)=1,0,VLOOKUP(Z100,C86:Y95,23,FALSE)-40)</f>
        <v>9</v>
      </c>
      <c r="CM100" s="1162">
        <f>IF(1*ISERROR(VLOOKUP(Z100,E86:Y95,21,FALSE)-40)=1,0,VLOOKUP(Z100,E86:Y95,21,FALSE)-40)</f>
        <v>10</v>
      </c>
      <c r="CN100" s="1162">
        <f>IF(1*ISERROR(VLOOKUP(Z100,G86:Y95,19,FALSE)-40)=1,0,VLOOKUP(Z100,G86:Y95,19,FALSE)-40)</f>
        <v>0</v>
      </c>
      <c r="CO100" s="1162">
        <f>IF(1*ISERROR(VLOOKUP(Z100,I86:Y95,17,FALSE)-40)=1,0,VLOOKUP(Z100,I86:Y95,17,FALSE)-40)</f>
        <v>0</v>
      </c>
      <c r="CP100" s="1162">
        <f>IF(1*ISERROR(VLOOKUP(Z100,K86:Y95,15,FALSE)-40)=1,0,VLOOKUP(Z100,K86:Y95,15,FALSE)-40)</f>
        <v>0</v>
      </c>
      <c r="CQ100" s="1162">
        <f>IF(1*ISERROR(VLOOKUP(Z100,M86:Y95,13,FALSE)-40)=1,0,VLOOKUP(Z100,M86:Y95,13,FALSE)-40)</f>
        <v>0</v>
      </c>
      <c r="CR100" s="1162">
        <f>IF(1*ISERROR(VLOOKUP(Z100,O86:Y95,11,FALSE)-40)=1,0,VLOOKUP(Z100,O86:Y95,11,FALSE)-40)</f>
        <v>0</v>
      </c>
      <c r="CS100" s="1162">
        <f>IF(1*ISERROR(VLOOKUP(Z100,Q86:Y95,9,FALSE)-40)=1,0,VLOOKUP(Z100,Q86:Y95,9,FALSE)-40)</f>
        <v>0</v>
      </c>
      <c r="CT100" s="1162">
        <f>IF(1*ISERROR(VLOOKUP(Z100,S86:Y95,7,FALSE)-40)=1,0,VLOOKUP(Z100,S86:Y95,7,FALSE)-40)</f>
        <v>0</v>
      </c>
      <c r="CU100" s="1162">
        <f>IF(1*ISERROR(VLOOKUP(Z100,U86:Y95,5,FALSE)-40)=1,0,VLOOKUP(Z100,U86:Y95,5,FALSE)-40)</f>
        <v>0</v>
      </c>
      <c r="CV100" s="1162">
        <v>0</v>
      </c>
      <c r="CW100" s="1162">
        <f t="shared" si="17"/>
        <v>19</v>
      </c>
      <c r="CX100" s="1162">
        <f>IF(CW100=0,35,_xlfn.RANK.EQ(CW100,CW98:CW132))</f>
        <v>11</v>
      </c>
      <c r="CY100" s="1162">
        <f>IF(CX100=35,35,CX100+COUNTIF(CX$98:CX99,CX100)/COUNTIF(CX$98:CX$132,CX100))</f>
        <v>11</v>
      </c>
      <c r="CZ100" s="1162">
        <f t="shared" si="18"/>
        <v>11</v>
      </c>
      <c r="DA100" s="1162" t="s">
        <v>403</v>
      </c>
      <c r="DB100" s="834"/>
      <c r="DC100" s="834"/>
      <c r="DD100" s="839"/>
      <c r="DE100" s="1098"/>
      <c r="DF100" s="1098"/>
      <c r="DG100" s="1098"/>
      <c r="DH100" s="1098"/>
      <c r="DI100" s="1098"/>
      <c r="DJ100" s="1098"/>
      <c r="DK100" s="1098"/>
      <c r="DL100" s="1098"/>
      <c r="DM100" s="1098"/>
      <c r="DN100" s="1098"/>
      <c r="DO100" s="1098"/>
    </row>
    <row r="101" spans="1:119" s="1086" customFormat="1">
      <c r="Y101" s="1113">
        <f t="shared" si="7"/>
        <v>4</v>
      </c>
      <c r="Z101" s="1162" t="s">
        <v>378</v>
      </c>
      <c r="AA101" s="1162">
        <f>IF(1*ISERROR(VLOOKUP(Z101,C46:Y55,23,FALSE))=1,0,VLOOKUP(Z101,C46:Y55,23,FALSE))</f>
        <v>3</v>
      </c>
      <c r="AB101" s="1162">
        <f>IF(1*ISERROR(VLOOKUP(Z101,E46:Y55,21,FALSE))=1,0,VLOOKUP(Z101,E46:Y55,21,FALSE))</f>
        <v>3</v>
      </c>
      <c r="AC101" s="1162">
        <f>IF(1*ISERROR(VLOOKUP(Z101,G46:Y55,19,FALSE))=1,0,VLOOKUP(Z101,G46:Y55,19,FALSE))</f>
        <v>2</v>
      </c>
      <c r="AD101" s="1162">
        <f>IF(1*ISERROR(VLOOKUP(Z101,I46:Y55,17,FALSE))=1,0,VLOOKUP(Z101,I46:Y55,17,FALSE))</f>
        <v>2</v>
      </c>
      <c r="AE101" s="1162">
        <f>IF(1*ISERROR(VLOOKUP(Z101,K46:Y55,15,FALSE))=1,0,VLOOKUP(Z101,K46:Y55,15,FALSE))</f>
        <v>2</v>
      </c>
      <c r="AF101" s="1162">
        <f>IF(1*ISERROR(VLOOKUP(Z101,M46:Y55,13,FALSE))=1,0,VLOOKUP(Z101,M46:Y55,13,FALSE))</f>
        <v>2</v>
      </c>
      <c r="AG101" s="1162">
        <f>IF(1*ISERROR(VLOOKUP(Z101,O46:Y55,11,FALSE))=1,0,VLOOKUP(Z101,O46:Y55,11,FALSE))</f>
        <v>2</v>
      </c>
      <c r="AH101" s="1162">
        <f>IF(1*ISERROR(VLOOKUP(Z101,Q46:Y55,9,FALSE))=1,0,VLOOKUP(Z101,Q46:Y55,9,FALSE))</f>
        <v>1</v>
      </c>
      <c r="AI101" s="1162">
        <f>IF(1*ISERROR(VLOOKUP(Z101,S46:Y55,7,FALSE))=1,0,VLOOKUP(Z101,S46:Y55,7,FALSE))</f>
        <v>2</v>
      </c>
      <c r="AJ101" s="1162">
        <f>IF(1*ISERROR(VLOOKUP(Z101,U46:Y55,5,FALSE))=1,0,VLOOKUP(Z101,U46:Y55,5,FALSE))</f>
        <v>1</v>
      </c>
      <c r="AK101" s="1162">
        <f t="shared" ref="AK101:AK106" si="19">IF(1*ISERROR(VLOOKUP(Z101,U46:Z55,5,FALSE))=1,0,VLOOKUP(Z101,U46:Z55,5,FALSE))</f>
        <v>1</v>
      </c>
      <c r="AL101" s="1162">
        <f>SUM(AA101:AK101)</f>
        <v>21</v>
      </c>
      <c r="AM101" s="1162">
        <f>IF(AL101=0,35,_xlfn.RANK.EQ(AL101,AL98:AL132))</f>
        <v>10</v>
      </c>
      <c r="AN101" s="1162">
        <f>IF(AM101=35,35,AM101+COUNTIF(AM$98:AM100,AM101)/COUNTIF(AM$98:AM$132,AM101))</f>
        <v>10</v>
      </c>
      <c r="AO101" s="1162">
        <f t="shared" si="9"/>
        <v>10</v>
      </c>
      <c r="AP101" s="1162" t="s">
        <v>378</v>
      </c>
      <c r="AQ101" s="1162">
        <f>IF(1*ISERROR(VLOOKUP(Z101,C56:Y65,23,FALSE)-10)=1,0,VLOOKUP(Z101,C56:Y65,23,FALSE)-10)</f>
        <v>0</v>
      </c>
      <c r="AR101" s="1162">
        <f>IF(1*ISERROR(VLOOKUP(Z101,E56:Y65,21,FALSE)-10)=1,0,VLOOKUP(Z101,E56:Y65,21,FALSE)-10)</f>
        <v>0</v>
      </c>
      <c r="AS101" s="1162">
        <f>IF(1*ISERROR(VLOOKUP(Z101,G56:Y65,19,FALSE)-10)=1,0,VLOOKUP(Z101,G56:Y65,19,FALSE)-10)</f>
        <v>0</v>
      </c>
      <c r="AT101" s="1162">
        <f>IF(1*ISERROR(VLOOKUP(Z101,I56:Y65,17,FALSE)-10)=1,0,VLOOKUP(Z101,I56:Y65,17,FALSE)-10)</f>
        <v>0</v>
      </c>
      <c r="AU101" s="1162">
        <f>IF(1*ISERROR(VLOOKUP(Z101,K56:Y65,15,FALSE)-10)=1,0,VLOOKUP(Z101,K56:Y65,15,FALSE)-10)</f>
        <v>0</v>
      </c>
      <c r="AV101" s="1162">
        <f>IF(1*ISERROR(VLOOKUP(Z101,M56:Y65,13,FALSE)-10)=1,0,VLOOKUP(Z101,M56:Y65,13,FALSE)-10)</f>
        <v>0</v>
      </c>
      <c r="AW101" s="1162">
        <f>IF(1*ISERROR(VLOOKUP(Z101,O56:Y65,11,FALSE)-10)=1,0,VLOOKUP(Z101,O56:Y65,11,FALSE)-10)</f>
        <v>0</v>
      </c>
      <c r="AX101" s="1162">
        <f>IF(1*ISERROR(VLOOKUP(Z101,Q56:Y65,9,FALSE)-10)=1,0,VLOOKUP(Z101,Q56:Y65,9,FALSE)-10)</f>
        <v>0</v>
      </c>
      <c r="AY101" s="1162">
        <f>IF(1*ISERROR(VLOOKUP(Z101,S56:Y65,7,FALSE)-10)=1,0,VLOOKUP(Z101,S56:Y65,7,FALSE)-10)</f>
        <v>0</v>
      </c>
      <c r="AZ101" s="1163">
        <f>IF(1*ISERROR(VLOOKUP(Z101,U56:Y65,5,FALSE)-10)=1,0,VLOOKUP(Z101,U56:Y65,5,FALSE)-10)</f>
        <v>0</v>
      </c>
      <c r="BA101" s="1162">
        <f t="shared" si="10"/>
        <v>0</v>
      </c>
      <c r="BB101" s="1162">
        <f>IF(BA101=0,35,_xlfn.RANK.EQ(BA101,BA98:BA132))</f>
        <v>35</v>
      </c>
      <c r="BC101" s="1162">
        <f>IF(BB101=35,35,BB101+COUNTIF(BB$98:BB100,BB101)/COUNTIF(BB$98:BB$132,BB101))</f>
        <v>35</v>
      </c>
      <c r="BD101" s="1162">
        <f t="shared" si="11"/>
        <v>13</v>
      </c>
      <c r="BE101" s="1162" t="s">
        <v>378</v>
      </c>
      <c r="BF101" s="1162">
        <f>IF(1*ISERROR(VLOOKUP(Z101,C66:Y75,23,FALSE)-20)=1,0,VLOOKUP(Z101,C66:Y75,23,FALSE)-20)</f>
        <v>6</v>
      </c>
      <c r="BG101" s="1162">
        <f>IF(1*ISERROR(VLOOKUP(Z101,E66:Y75,21,FALSE)-20)=1,0,VLOOKUP(Z101,E66:Y75,21,FALSE)-20)</f>
        <v>6</v>
      </c>
      <c r="BH101" s="1162">
        <f>IF(1*ISERROR(VLOOKUP(Z101,G66:Y75,19,FALSE)-20)=1,0,VLOOKUP(Z101,G66:Y75,19,FALSE)-20)</f>
        <v>5</v>
      </c>
      <c r="BI101" s="1162">
        <f>IF(1*ISERROR(VLOOKUP(Z101,I66:Y75,17,FALSE)-20)=1,0,VLOOKUP(Z101,I66:Y75,17,FALSE)-20)</f>
        <v>7</v>
      </c>
      <c r="BJ101" s="1162">
        <f>IF(1*ISERROR(VLOOKUP(Z101,K66:Y75,15,FALSE)-20)=1,0,VLOOKUP(Z101,K66:Y75,15,FALSE)-20)</f>
        <v>7</v>
      </c>
      <c r="BK101" s="1162">
        <f>IF(1*ISERROR(VLOOKUP(Z101,M66:Y75,13,FALSE)-20)=1,0,VLOOKUP(Z101,M66:Y75,13,FALSE)-20)</f>
        <v>7</v>
      </c>
      <c r="BL101" s="1162">
        <f>IF(1*ISERROR(VLOOKUP(Z101,O66:Y75,11,FALSE)-20)=1,0,VLOOKUP(Z101,O66:Y75,11,FALSE)-20)</f>
        <v>8</v>
      </c>
      <c r="BM101" s="1162">
        <f>IF(1*ISERROR(VLOOKUP(Z101,Q66:Y75,9,FALSE)-20)=1,0,VLOOKUP(Z101,Q66:Y75,9,FALSE)-20)</f>
        <v>5</v>
      </c>
      <c r="BN101" s="1162">
        <f>IF(1*ISERROR(VLOOKUP(Z101,S66:Y75,7,FALSE)-20)=1,0,VLOOKUP(Z101,S66:Y75,7,FALSE)-20)</f>
        <v>8</v>
      </c>
      <c r="BO101" s="1162">
        <f>IF(1*ISERROR(VLOOKUP(Z101,U66:Y75,5,FALSE)-20)=1,0,VLOOKUP(Z101,U66:Y75,5,FALSE)-20)</f>
        <v>8</v>
      </c>
      <c r="BP101" s="1162">
        <v>7</v>
      </c>
      <c r="BQ101" s="1162">
        <f t="shared" si="12"/>
        <v>74</v>
      </c>
      <c r="BR101" s="1162">
        <f>IF(BQ101=0,35,_xlfn.RANK.EQ(BQ101,BQ98:BQ132))</f>
        <v>3</v>
      </c>
      <c r="BS101" s="1162">
        <f>IF(BR101=35,35,BR101+COUNTIF(BR$98:BR100,BR101)/COUNTIF(BR$98:BR$132,BR101))</f>
        <v>3</v>
      </c>
      <c r="BT101" s="1162">
        <f t="shared" si="13"/>
        <v>3</v>
      </c>
      <c r="BU101" s="1162" t="s">
        <v>378</v>
      </c>
      <c r="BV101" s="1162">
        <f>IF(1*ISERROR(VLOOKUP(Z101,C76:Y85,23,FALSE)-30)=1,0,VLOOKUP(Z101,C76:Y85,23,FALSE)-30)</f>
        <v>4</v>
      </c>
      <c r="BW101" s="1162">
        <f>IF(1*ISERROR(VLOOKUP(Z101,E76:Y85,21,FALSE)-30)=1,0,VLOOKUP(Z101,E76:Y85,21,FALSE)-30)</f>
        <v>4</v>
      </c>
      <c r="BX101" s="1162">
        <f>IF(1*ISERROR(VLOOKUP(Z101,G76:Y85,19,FALSE)-30)=1,0,VLOOKUP(Z101,G76:Y85,19,FALSE)-30)</f>
        <v>9</v>
      </c>
      <c r="BY101" s="1162">
        <f>IF(1*ISERROR(VLOOKUP(Z101,I76:Y85,17,FALSE)-30)=1,0,VLOOKUP(Z101,I76:Y85,17,FALSE)-30)</f>
        <v>0</v>
      </c>
      <c r="BZ101" s="1162">
        <f>IF(1*ISERROR(VLOOKUP(Z101,K76:Y85,15,FALSE)-30)=1,0,VLOOKUP(Z101,K76:Y85,15,FALSE)-30)</f>
        <v>9</v>
      </c>
      <c r="CA101" s="1162">
        <f>IF(1*ISERROR(VLOOKUP(Z101,M76:Y85,13,FALSE)-30)=1,0,VLOOKUP(Z101,M76:Y85,13,FALSE)-30)</f>
        <v>9</v>
      </c>
      <c r="CB101" s="1162">
        <f>IF(1*ISERROR(VLOOKUP(Z101,O76:Y85,11,FALSE)-30)=1,0,VLOOKUP(Z101,O76:Y85,11,FALSE)-30)</f>
        <v>9</v>
      </c>
      <c r="CC101" s="1162">
        <f>IF(1*ISERROR(VLOOKUP(Z101,Q76:Y85,9,FALSE)-30)=1,0,VLOOKUP(Z101,Q76:Y85,9,FALSE)-30)</f>
        <v>7</v>
      </c>
      <c r="CD101" s="1162">
        <f>IF(1*ISERROR(VLOOKUP(Z101,S76:Y85,7,FALSE)-30)=1,0,VLOOKUP(Z101,S76:Y85,7,FALSE)-30)</f>
        <v>8</v>
      </c>
      <c r="CE101" s="1162">
        <f>IF(1*ISERROR(VLOOKUP(Z101,U76:Y85,5,FALSE)-30)=1,0,VLOOKUP(Z101,U76:Y85,5,FALSE)-30)</f>
        <v>6</v>
      </c>
      <c r="CF101" s="1163">
        <v>4</v>
      </c>
      <c r="CG101" s="1162">
        <f t="shared" si="14"/>
        <v>65</v>
      </c>
      <c r="CH101" s="1162">
        <f t="shared" si="15"/>
        <v>1</v>
      </c>
      <c r="CI101" s="1162">
        <f>IF(CH101=35,35,CH101+COUNTIF(CH$98:CH100,CH101)/COUNTIF(CH$98:CH$132,CH101))</f>
        <v>1</v>
      </c>
      <c r="CJ101" s="1162">
        <f t="shared" si="16"/>
        <v>1</v>
      </c>
      <c r="CK101" s="1162" t="s">
        <v>378</v>
      </c>
      <c r="CL101" s="1162">
        <f>IF(1*ISERROR(VLOOKUP(Z101,C86:Y95,23,FALSE)-40)=1,0,VLOOKUP(Z101,C86:Y95,23,FALSE)-40)</f>
        <v>4</v>
      </c>
      <c r="CM101" s="1162">
        <f>IF(1*ISERROR(VLOOKUP(Z101,E86:Y95,21,FALSE)-40)=1,0,VLOOKUP(Z101,E86:Y95,21,FALSE)-40)</f>
        <v>2</v>
      </c>
      <c r="CN101" s="1162">
        <f>IF(1*ISERROR(VLOOKUP(Z101,G86:Y95,19,FALSE)-40)=1,0,VLOOKUP(Z101,G86:Y95,19,FALSE)-40)</f>
        <v>2</v>
      </c>
      <c r="CO101" s="1162">
        <f>IF(1*ISERROR(VLOOKUP(Z101,I86:Y95,17,FALSE)-40)=1,0,VLOOKUP(Z101,I86:Y95,17,FALSE)-40)</f>
        <v>2</v>
      </c>
      <c r="CP101" s="1162">
        <f>IF(1*ISERROR(VLOOKUP(Z101,K86:Y95,15,FALSE)-40)=1,0,VLOOKUP(Z101,K86:Y95,15,FALSE)-40)</f>
        <v>2</v>
      </c>
      <c r="CQ101" s="1162">
        <f>IF(1*ISERROR(VLOOKUP(Z101,M86:Y95,13,FALSE)-40)=1,0,VLOOKUP(Z101,M86:Y95,13,FALSE)-40)</f>
        <v>2</v>
      </c>
      <c r="CR101" s="1162">
        <f>IF(1*ISERROR(VLOOKUP(Z101,O86:Y95,11,FALSE)-40)=1,0,VLOOKUP(Z101,O86:Y95,11,FALSE)-40)</f>
        <v>2</v>
      </c>
      <c r="CS101" s="1162">
        <f>IF(1*ISERROR(VLOOKUP(Z101,Q86:Y95,9,FALSE)-40)=1,0,VLOOKUP(Z101,Q86:Y95,9,FALSE)-40)</f>
        <v>2</v>
      </c>
      <c r="CT101" s="1162">
        <f>IF(1*ISERROR(VLOOKUP(Z101,S86:Y95,7,FALSE)-40)=1,0,VLOOKUP(Z101,S86:Y95,7,FALSE)-40)</f>
        <v>2</v>
      </c>
      <c r="CU101" s="1162">
        <f>IF(1*ISERROR(VLOOKUP(Z101,U86:Y95,5,FALSE)-40)=1,0,VLOOKUP(Z101,U86:Y95,5,FALSE)-40)</f>
        <v>2</v>
      </c>
      <c r="CV101" s="1162">
        <v>2</v>
      </c>
      <c r="CW101" s="1162">
        <f t="shared" si="17"/>
        <v>24</v>
      </c>
      <c r="CX101" s="1162">
        <f>IF(CW101=0,35,_xlfn.RANK.EQ(CW101,CW98:CW132))</f>
        <v>10</v>
      </c>
      <c r="CY101" s="1162">
        <f>IF(CX101=35,35,CX101+COUNTIF(CX$98:CX100,CX101)/COUNTIF(CX$98:CX$132,CX101))</f>
        <v>10</v>
      </c>
      <c r="CZ101" s="1162">
        <f t="shared" si="18"/>
        <v>10</v>
      </c>
      <c r="DA101" s="1162" t="s">
        <v>378</v>
      </c>
      <c r="DB101" s="834"/>
      <c r="DC101" s="834"/>
      <c r="DD101" s="839"/>
      <c r="DE101" s="1098"/>
      <c r="DF101" s="1098"/>
      <c r="DG101" s="1098"/>
      <c r="DH101" s="1098"/>
      <c r="DI101" s="1098"/>
      <c r="DJ101" s="1098"/>
      <c r="DK101" s="1098"/>
      <c r="DL101" s="1098"/>
      <c r="DM101" s="1098"/>
      <c r="DN101" s="1098"/>
      <c r="DO101" s="1098"/>
    </row>
    <row r="102" spans="1:119" s="1086" customFormat="1">
      <c r="Y102" s="1113">
        <f t="shared" si="7"/>
        <v>5</v>
      </c>
      <c r="Z102" s="1162" t="s">
        <v>407</v>
      </c>
      <c r="AA102" s="1162">
        <f>IF(1*ISERROR(VLOOKUP(Z102,C46:Y55,23,FALSE))=1,0,VLOOKUP(Z102,C46:Y55,23,FALSE))</f>
        <v>0</v>
      </c>
      <c r="AB102" s="1162">
        <f>IF(1*ISERROR(VLOOKUP(Z102,E46:Y55,21,FALSE))=1,0,VLOOKUP(Z102,E46:Y55,21,FALSE))</f>
        <v>0</v>
      </c>
      <c r="AC102" s="1162">
        <f>IF(1*ISERROR(VLOOKUP(Z102,G46:Y55,19,FALSE))=1,0,VLOOKUP(Z102,G46:Y55,19,FALSE))</f>
        <v>0</v>
      </c>
      <c r="AD102" s="1162">
        <f>IF(1*ISERROR(VLOOKUP(Z102,I46:Y55,17,FALSE))=1,0,VLOOKUP(Z102,I46:Y55,17,FALSE))</f>
        <v>0</v>
      </c>
      <c r="AE102" s="1162">
        <f>IF(1*ISERROR(VLOOKUP(Z102,K46:Y55,15,FALSE))=1,0,VLOOKUP(Z102,K46:Y55,15,FALSE))</f>
        <v>0</v>
      </c>
      <c r="AF102" s="1162">
        <f>IF(1*ISERROR(VLOOKUP(Z102,M46:Y55,13,FALSE))=1,0,VLOOKUP(Z102,M46:Y55,13,FALSE))</f>
        <v>0</v>
      </c>
      <c r="AG102" s="1162">
        <f>IF(1*ISERROR(VLOOKUP(Z102,O46:Y55,11,FALSE))=1,0,VLOOKUP(Z102,O46:Y55,11,FALSE))</f>
        <v>0</v>
      </c>
      <c r="AH102" s="1162">
        <f>IF(1*ISERROR(VLOOKUP(Z102,Q46:Y55,9,FALSE))=1,0,VLOOKUP(Z102,Q46:Y55,9,FALSE))</f>
        <v>0</v>
      </c>
      <c r="AI102" s="1162">
        <f>IF(1*ISERROR(VLOOKUP(Z102,S46:Y55,7,FALSE))=1,0,VLOOKUP(Z102,S46:Y55,7,FALSE))</f>
        <v>0</v>
      </c>
      <c r="AJ102" s="1162">
        <f>IF(1*ISERROR(VLOOKUP(Z102,U46:Y55,5,FALSE))=1,0,VLOOKUP(Z102,U46:Y55,5,FALSE))</f>
        <v>0</v>
      </c>
      <c r="AK102" s="1162">
        <f t="shared" si="19"/>
        <v>0</v>
      </c>
      <c r="AL102" s="1162">
        <f t="shared" si="8"/>
        <v>0</v>
      </c>
      <c r="AM102" s="1162">
        <f>IF(AL102=0,35,_xlfn.RANK.EQ(AL102,AL98:AL132))</f>
        <v>35</v>
      </c>
      <c r="AN102" s="1162">
        <f>IF(AM102=35,35,AM102+COUNTIF(AM$98:AM101,AM102)/COUNTIF(AM$98:AM$132,AM102))</f>
        <v>35</v>
      </c>
      <c r="AO102" s="1162">
        <f t="shared" si="9"/>
        <v>13</v>
      </c>
      <c r="AP102" s="1162" t="s">
        <v>407</v>
      </c>
      <c r="AQ102" s="1162">
        <f>IF(1*ISERROR(VLOOKUP(Z102,C56:Y65,23,FALSE)-10)=1,0,VLOOKUP(Z102,C56:Y65,23,FALSE)-10)</f>
        <v>0</v>
      </c>
      <c r="AR102" s="1162">
        <f>IF(1*ISERROR(VLOOKUP(Z102,E56:Y65,21,FALSE)-10)=1,0,VLOOKUP(Z102,E56:Y65,21,FALSE)-10)</f>
        <v>0</v>
      </c>
      <c r="AS102" s="1162">
        <f>IF(1*ISERROR(VLOOKUP(Z102,G56:Y65,19,FALSE)-10)=1,0,VLOOKUP(Z102,G56:Y65,19,FALSE)-10)</f>
        <v>0</v>
      </c>
      <c r="AT102" s="1162">
        <f>IF(1*ISERROR(VLOOKUP(Z102,I56:Y65,17,FALSE)-10)=1,0,VLOOKUP(Z102,I56:Y65,17,FALSE)-10)</f>
        <v>0</v>
      </c>
      <c r="AU102" s="1162">
        <f>IF(1*ISERROR(VLOOKUP(Z102,K56:Y65,15,FALSE)-10)=1,0,VLOOKUP(Z102,K56:Y65,15,FALSE)-10)</f>
        <v>0</v>
      </c>
      <c r="AV102" s="1162">
        <f>IF(1*ISERROR(VLOOKUP(Z102,M56:Y65,13,FALSE)-10)=1,0,VLOOKUP(Z102,M56:Y65,13,FALSE)-10)</f>
        <v>0</v>
      </c>
      <c r="AW102" s="1162">
        <f>IF(1*ISERROR(VLOOKUP(Z102,O56:Y65,11,FALSE)-10)=1,0,VLOOKUP(Z102,O56:Y65,11,FALSE)-10)</f>
        <v>0</v>
      </c>
      <c r="AX102" s="1162">
        <f>IF(1*ISERROR(VLOOKUP(Z102,Q56:Y65,9,FALSE)-10)=1,0,VLOOKUP(Z102,Q56:Y65,9,FALSE)-10)</f>
        <v>0</v>
      </c>
      <c r="AY102" s="1162">
        <f>IF(1*ISERROR(VLOOKUP(Z102,S56:Y65,7,FALSE)-10)=1,0,VLOOKUP(Z102,S56:Y65,7,FALSE)-10)</f>
        <v>0</v>
      </c>
      <c r="AZ102" s="1163">
        <f>IF(1*ISERROR(VLOOKUP(Z102,U56:Y65,5,FALSE)-10)=1,0,VLOOKUP(Z102,U56:Y65,5,FALSE)-10)</f>
        <v>0</v>
      </c>
      <c r="BA102" s="1162">
        <f t="shared" si="10"/>
        <v>0</v>
      </c>
      <c r="BB102" s="1162">
        <f>IF(BA102=0,35,_xlfn.RANK.EQ(BA102,BA98:BA132))</f>
        <v>35</v>
      </c>
      <c r="BC102" s="1162">
        <f>IF(BB102=35,35,BB102+COUNTIF(BB$98:BB101,BB102)/COUNTIF(BB$98:BB$132,BB102))</f>
        <v>35</v>
      </c>
      <c r="BD102" s="1162">
        <f t="shared" si="11"/>
        <v>13</v>
      </c>
      <c r="BE102" s="1162" t="s">
        <v>407</v>
      </c>
      <c r="BF102" s="1162">
        <f>IF(1*ISERROR(VLOOKUP(Z102,C66:Y75,23,FALSE)-20)=1,0,VLOOKUP(Z102,C66:Y75,23,FALSE)-20)</f>
        <v>0</v>
      </c>
      <c r="BG102" s="1162">
        <f>IF(1*ISERROR(VLOOKUP(Z102,E66:Y75,21,FALSE)-20)=1,0,VLOOKUP(Z102,E66:Y75,21,FALSE)-20)</f>
        <v>0</v>
      </c>
      <c r="BH102" s="1162">
        <f>IF(1*ISERROR(VLOOKUP(Z102,G66:Y75,19,FALSE)-20)=1,0,VLOOKUP(Z102,G66:Y75,19,FALSE)-20)</f>
        <v>0</v>
      </c>
      <c r="BI102" s="1162">
        <f>IF(1*ISERROR(VLOOKUP(Z102,I66:Y75,17,FALSE)-20)=1,0,VLOOKUP(Z102,I66:Y75,17,FALSE)-20)</f>
        <v>0</v>
      </c>
      <c r="BJ102" s="1162">
        <f>IF(1*ISERROR(VLOOKUP(Z102,K66:Y75,15,FALSE)-20)=1,0,VLOOKUP(Z102,K66:Y75,15,FALSE)-20)</f>
        <v>0</v>
      </c>
      <c r="BK102" s="1162">
        <f>IF(1*ISERROR(VLOOKUP(Z102,M66:Y75,13,FALSE)-20)=1,0,VLOOKUP(Z102,M66:Y75,13,FALSE)-20)</f>
        <v>0</v>
      </c>
      <c r="BL102" s="1162">
        <f>IF(1*ISERROR(VLOOKUP(Z102,O66:Y75,11,FALSE)-20)=1,0,VLOOKUP(Z102,O66:Y75,11,FALSE)-20)</f>
        <v>0</v>
      </c>
      <c r="BM102" s="1162">
        <f>IF(1*ISERROR(VLOOKUP(Z102,Q66:Y75,9,FALSE)-20)=1,0,VLOOKUP(Z102,Q66:Y75,9,FALSE)-20)</f>
        <v>0</v>
      </c>
      <c r="BN102" s="1162">
        <f>IF(1*ISERROR(VLOOKUP(Z102,S66:Y75,7,FALSE)-20)=1,0,VLOOKUP(Z102,S66:Y75,7,FALSE)-20)</f>
        <v>0</v>
      </c>
      <c r="BO102" s="1162">
        <f>IF(1*ISERROR(VLOOKUP(Z102,U66:Y75,5,FALSE)-20)=1,0,VLOOKUP(Z102,U66:Y75,5,FALSE)-20)</f>
        <v>0</v>
      </c>
      <c r="BP102" s="1162">
        <f>IF(1*ISERROR(VLOOKUP(Z102,U66:Z75,5,FALSE)-20)=1,0,VLOOKUP(Z102,U66:Z75,5,FALSE)-20)</f>
        <v>0</v>
      </c>
      <c r="BQ102" s="1162">
        <f t="shared" si="12"/>
        <v>0</v>
      </c>
      <c r="BR102" s="1162">
        <f>IF(BQ102=0,35,_xlfn.RANK.EQ(BQ102,BQ98:BQ132))</f>
        <v>35</v>
      </c>
      <c r="BS102" s="1162">
        <f>IF(BR102=35,35,BR102+COUNTIF(BR$98:BR101,BR102)/COUNTIF(BR$98:BR$132,BR102))</f>
        <v>35</v>
      </c>
      <c r="BT102" s="1162">
        <f t="shared" si="13"/>
        <v>13</v>
      </c>
      <c r="BU102" s="1162" t="s">
        <v>407</v>
      </c>
      <c r="BV102" s="1162">
        <f>IF(1*ISERROR(VLOOKUP(Z102,C76:Y85,23,FALSE)-30)=1,0,VLOOKUP(Z102,C76:Y85,23,FALSE)-30)</f>
        <v>0</v>
      </c>
      <c r="BW102" s="1162">
        <f>IF(1*ISERROR(VLOOKUP(Z102,E76:Y85,21,FALSE)-30)=1,0,VLOOKUP(Z102,E76:Y85,21,FALSE)-30)</f>
        <v>0</v>
      </c>
      <c r="BX102" s="1162">
        <f>IF(1*ISERROR(VLOOKUP(Z102,G76:Y85,19,FALSE)-30)=1,0,VLOOKUP(Z102,G76:Y85,19,FALSE)-30)</f>
        <v>0</v>
      </c>
      <c r="BY102" s="1162">
        <f>IF(1*ISERROR(VLOOKUP(Z102,I76:Y85,17,FALSE)-30)=1,0,VLOOKUP(Z102,I76:Y85,17,FALSE)-30)</f>
        <v>0</v>
      </c>
      <c r="BZ102" s="1162">
        <f>IF(1*ISERROR(VLOOKUP(Z102,K76:Y85,15,FALSE)-30)=1,0,VLOOKUP(Z102,K76:Y85,15,FALSE)-30)</f>
        <v>0</v>
      </c>
      <c r="CA102" s="1162">
        <f>IF(1*ISERROR(VLOOKUP(Z102,M76:Y85,13,FALSE)-30)=1,0,VLOOKUP(Z102,M76:Y85,13,FALSE)-30)</f>
        <v>0</v>
      </c>
      <c r="CB102" s="1162">
        <f>IF(1*ISERROR(VLOOKUP(Z102,O76:Y85,11,FALSE)-30)=1,0,VLOOKUP(Z102,O76:Y85,11,FALSE)-30)</f>
        <v>0</v>
      </c>
      <c r="CC102" s="1162">
        <f>IF(1*ISERROR(VLOOKUP(Z102,Q76:Y85,9,FALSE)-30)=1,0,VLOOKUP(Z102,Q76:Y85,9,FALSE)-30)</f>
        <v>0</v>
      </c>
      <c r="CD102" s="1162">
        <f>IF(1*ISERROR(VLOOKUP(Z102,S76:Y85,7,FALSE)-30)=1,0,VLOOKUP(Z102,S76:Y85,7,FALSE)-30)</f>
        <v>0</v>
      </c>
      <c r="CE102" s="1162">
        <f>IF(1*ISERROR(VLOOKUP(Z102,U76:Y85,5,FALSE)-30)=1,0,VLOOKUP(Z102,U76:Y85,5,FALSE)-30)</f>
        <v>1</v>
      </c>
      <c r="CF102" s="1163">
        <f>IF(1*ISERROR(VLOOKUP(Z102,U77:Z86,5,FALSE)-30)=1,0,VLOOKUP(Z102,U77:Z86,5,FALSE)-30)</f>
        <v>0</v>
      </c>
      <c r="CG102" s="1162">
        <f t="shared" si="14"/>
        <v>1</v>
      </c>
      <c r="CH102" s="1162">
        <f t="shared" si="15"/>
        <v>19</v>
      </c>
      <c r="CI102" s="1162">
        <f>IF(CH102=35,35,CH102+COUNTIF(CH$98:CH101,CH102)/COUNTIF(CH$98:CH$132,CH102))</f>
        <v>19</v>
      </c>
      <c r="CJ102" s="1162">
        <f t="shared" si="16"/>
        <v>19</v>
      </c>
      <c r="CK102" s="1162" t="s">
        <v>407</v>
      </c>
      <c r="CL102" s="1162">
        <f>IF(1*ISERROR(VLOOKUP(Z102,C86:Y95,23,FALSE)-40)=1,0,VLOOKUP(Z102,C86:Y95,23,FALSE)-40)</f>
        <v>0</v>
      </c>
      <c r="CM102" s="1162">
        <f>IF(1*ISERROR(VLOOKUP(Z102,E86:Y95,21,FALSE)-40)=1,0,VLOOKUP(Z102,E86:Y95,21,FALSE)-40)</f>
        <v>0</v>
      </c>
      <c r="CN102" s="1162">
        <f>IF(1*ISERROR(VLOOKUP(Z102,G86:Y95,19,FALSE)-40)=1,0,VLOOKUP(Z102,G86:Y95,19,FALSE)-40)</f>
        <v>0</v>
      </c>
      <c r="CO102" s="1162">
        <f>IF(1*ISERROR(VLOOKUP(Z102,I86:Y95,17,FALSE)-40)=1,0,VLOOKUP(Z102,I86:Y95,17,FALSE)-40)</f>
        <v>0</v>
      </c>
      <c r="CP102" s="1162">
        <f>IF(1*ISERROR(VLOOKUP(Z102,K86:Y95,15,FALSE)-40)=1,0,VLOOKUP(Z102,K86:Y95,15,FALSE)-40)</f>
        <v>0</v>
      </c>
      <c r="CQ102" s="1162">
        <f>IF(1*ISERROR(VLOOKUP(Z102,M86:Y95,13,FALSE)-40)=1,0,VLOOKUP(Z102,M86:Y95,13,FALSE)-40)</f>
        <v>0</v>
      </c>
      <c r="CR102" s="1162">
        <f>IF(1*ISERROR(VLOOKUP(Z102,O86:Y95,11,FALSE)-40)=1,0,VLOOKUP(Z102,O86:Y95,11,FALSE)-40)</f>
        <v>0</v>
      </c>
      <c r="CS102" s="1162">
        <f>IF(1*ISERROR(VLOOKUP(Z102,Q86:Y95,9,FALSE)-40)=1,0,VLOOKUP(Z102,Q86:Y95,9,FALSE)-40)</f>
        <v>0</v>
      </c>
      <c r="CT102" s="1162">
        <f>IF(1*ISERROR(VLOOKUP(Z102,S86:Y95,7,FALSE)-40)=1,0,VLOOKUP(Z102,S86:Y95,7,FALSE)-40)</f>
        <v>0</v>
      </c>
      <c r="CU102" s="1162">
        <f>IF(1*ISERROR(VLOOKUP(Z102,U86:Y95,5,FALSE)-40)=1,0,VLOOKUP(Z102,U86:Y95,5,FALSE)-40)</f>
        <v>0</v>
      </c>
      <c r="CV102" s="1162">
        <v>0</v>
      </c>
      <c r="CW102" s="1162">
        <f t="shared" si="17"/>
        <v>0</v>
      </c>
      <c r="CX102" s="1162">
        <f>IF(CW102=0,35,_xlfn.RANK.EQ(CW102,CW98:CW132))</f>
        <v>35</v>
      </c>
      <c r="CY102" s="1162">
        <f>IF(CX102=35,35,CX102+COUNTIF(CX$98:CX101,CX102)/COUNTIF(CX$98:CX$132,CX102))</f>
        <v>35</v>
      </c>
      <c r="CZ102" s="1162">
        <f t="shared" si="18"/>
        <v>13</v>
      </c>
      <c r="DA102" s="1162" t="s">
        <v>407</v>
      </c>
      <c r="DB102" s="834"/>
      <c r="DC102" s="834"/>
      <c r="DD102" s="839"/>
      <c r="DE102" s="1098"/>
      <c r="DF102" s="1098"/>
      <c r="DG102" s="1098"/>
      <c r="DH102" s="1098"/>
      <c r="DI102" s="1098"/>
      <c r="DJ102" s="1098"/>
      <c r="DK102" s="1098"/>
      <c r="DL102" s="1098"/>
      <c r="DM102" s="1098"/>
      <c r="DN102" s="1098"/>
      <c r="DO102" s="1098"/>
    </row>
    <row r="103" spans="1:119" s="1086" customFormat="1">
      <c r="Y103" s="1113">
        <f t="shared" si="7"/>
        <v>6</v>
      </c>
      <c r="Z103" s="1162" t="s">
        <v>380</v>
      </c>
      <c r="AA103" s="1162">
        <f>IF(1*ISERROR(VLOOKUP(Z103,C46:Y55,23,FALSE))=1,0,VLOOKUP(Z103,C46:Y55,23,FALSE))</f>
        <v>4</v>
      </c>
      <c r="AB103" s="1162">
        <f>IF(1*ISERROR(VLOOKUP(Z103,E46:Y55,21,FALSE))=1,0,VLOOKUP(Z103,E46:Y55,21,FALSE))</f>
        <v>4</v>
      </c>
      <c r="AC103" s="1162">
        <f>IF(1*ISERROR(VLOOKUP(Z103,G46:Y55,19,FALSE))=1,0,VLOOKUP(Z103,G46:Y55,19,FALSE))</f>
        <v>4</v>
      </c>
      <c r="AD103" s="1162">
        <f>IF(1*ISERROR(VLOOKUP(Z103,I46:Y55,17,FALSE))=1,0,VLOOKUP(Z103,I46:Y55,17,FALSE))</f>
        <v>3</v>
      </c>
      <c r="AE103" s="1162">
        <f>IF(1*ISERROR(VLOOKUP(Z103,K46:Y55,15,FALSE))=1,0,VLOOKUP(Z103,K46:Y55,15,FALSE))</f>
        <v>3</v>
      </c>
      <c r="AF103" s="1162">
        <f>IF(1*ISERROR(VLOOKUP(Z103,M46:Y55,13,FALSE))=1,0,VLOOKUP(Z103,M46:Y55,13,FALSE))</f>
        <v>3</v>
      </c>
      <c r="AG103" s="1162">
        <f>IF(1*ISERROR(VLOOKUP(Z103,O46:Y55,11,FALSE))=1,0,VLOOKUP(Z103,O46:Y55,11,FALSE))</f>
        <v>3</v>
      </c>
      <c r="AH103" s="1162">
        <f>IF(1*ISERROR(VLOOKUP(Z103,Q46:Y55,9,FALSE))=1,0,VLOOKUP(Z103,Q46:Y55,9,FALSE))</f>
        <v>3</v>
      </c>
      <c r="AI103" s="1162">
        <f>IF(1*ISERROR(VLOOKUP(Z103,S46:Y55,7,FALSE))=1,0,VLOOKUP(Z103,S46:Y55,7,FALSE))</f>
        <v>3</v>
      </c>
      <c r="AJ103" s="1162">
        <f>IF(1*ISERROR(VLOOKUP(Z103,U46:Y55,5,FALSE))=1,0,VLOOKUP(Z103,U46:Y55,5,FALSE))</f>
        <v>3</v>
      </c>
      <c r="AK103" s="1162">
        <f t="shared" si="19"/>
        <v>3</v>
      </c>
      <c r="AL103" s="1162">
        <f t="shared" si="8"/>
        <v>36</v>
      </c>
      <c r="AM103" s="1162">
        <f>IF(AL103=0,35,_xlfn.RANK.EQ(AL103,AL98:AL132))</f>
        <v>9</v>
      </c>
      <c r="AN103" s="1162">
        <f>IF(AM103=35,35,AM103+COUNTIF(AM$98:AM102,AM103)/COUNTIF(AM$98:AM$132,AM103))</f>
        <v>9</v>
      </c>
      <c r="AO103" s="1162">
        <f t="shared" si="9"/>
        <v>9</v>
      </c>
      <c r="AP103" s="1162" t="s">
        <v>380</v>
      </c>
      <c r="AQ103" s="1162">
        <f>IF(1*ISERROR(VLOOKUP(Z103,C56:Y65,23,FALSE)-10)=1,0,VLOOKUP(Z103,C56:Y65,23,FALSE)-10)</f>
        <v>3</v>
      </c>
      <c r="AR103" s="1162">
        <f>IF(1*ISERROR(VLOOKUP(Z103,E56:Y65,21,FALSE)-10)=1,0,VLOOKUP(Z103,E56:Y65,21,FALSE)-10)</f>
        <v>2</v>
      </c>
      <c r="AS103" s="1162">
        <f>IF(1*ISERROR(VLOOKUP(Z103,G56:Y65,19,FALSE)-10)=1,0,VLOOKUP(Z103,G56:Y65,19,FALSE)-10)</f>
        <v>2</v>
      </c>
      <c r="AT103" s="1162">
        <f>IF(1*ISERROR(VLOOKUP(Z103,I56:Y65,17,FALSE)-10)=1,0,VLOOKUP(Z103,I56:Y65,17,FALSE)-10)</f>
        <v>2</v>
      </c>
      <c r="AU103" s="1162">
        <f>IF(1*ISERROR(VLOOKUP(Z103,K56:Y65,15,FALSE)-10)=1,0,VLOOKUP(Z103,K56:Y65,15,FALSE)-10)</f>
        <v>3</v>
      </c>
      <c r="AV103" s="1162">
        <f>IF(1*ISERROR(VLOOKUP(Z103,M56:Y65,13,FALSE)-10)=1,0,VLOOKUP(Z103,M56:Y65,13,FALSE)-10)</f>
        <v>3</v>
      </c>
      <c r="AW103" s="1162">
        <f>IF(1*ISERROR(VLOOKUP(Z103,O56:Y65,11,FALSE)-10)=1,0,VLOOKUP(Z103,O56:Y65,11,FALSE)-10)</f>
        <v>3</v>
      </c>
      <c r="AX103" s="1162">
        <f>IF(1*ISERROR(VLOOKUP(Z103,Q56:Y65,9,FALSE)-10)=1,0,VLOOKUP(Z103,Q56:Y65,9,FALSE)-10)</f>
        <v>3</v>
      </c>
      <c r="AY103" s="1162">
        <f>IF(1*ISERROR(VLOOKUP(Z103,S56:Y65,7,FALSE)-10)=1,0,VLOOKUP(Z103,S56:Y65,7,FALSE)-10)</f>
        <v>3</v>
      </c>
      <c r="AZ103" s="1163">
        <f>IF(1*ISERROR(VLOOKUP(Z103,U56:Y65,5,FALSE)-10)=1,0,VLOOKUP(Z103,U56:Y65,5,FALSE)-10)</f>
        <v>2</v>
      </c>
      <c r="BA103" s="1162">
        <f t="shared" si="10"/>
        <v>26</v>
      </c>
      <c r="BB103" s="1162">
        <f>IF(BA103=0,35,_xlfn.RANK.EQ(BA103,BA98:BA132))</f>
        <v>10</v>
      </c>
      <c r="BC103" s="1162">
        <f>IF(BB103=35,35,BB103+COUNTIF(BB$98:BB102,BB103)/COUNTIF(BB$98:BB$132,BB103))</f>
        <v>10</v>
      </c>
      <c r="BD103" s="1162">
        <f t="shared" si="11"/>
        <v>10</v>
      </c>
      <c r="BE103" s="1162" t="s">
        <v>380</v>
      </c>
      <c r="BF103" s="1162">
        <f>IF(1*ISERROR(VLOOKUP(Z103,C66:Y75,23,FALSE)-20)=1,0,VLOOKUP(Z103,C66:Y75,23,FALSE)-20)</f>
        <v>3</v>
      </c>
      <c r="BG103" s="1162">
        <f>IF(1*ISERROR(VLOOKUP(Z103,E66:Y75,21,FALSE)-20)=1,0,VLOOKUP(Z103,E66:Y75,21,FALSE)-20)</f>
        <v>2</v>
      </c>
      <c r="BH103" s="1162">
        <f>IF(1*ISERROR(VLOOKUP(Z103,G66:Y75,19,FALSE)-20)=1,0,VLOOKUP(Z103,G66:Y75,19,FALSE)-20)</f>
        <v>2</v>
      </c>
      <c r="BI103" s="1162">
        <f>IF(1*ISERROR(VLOOKUP(Z103,I66:Y75,17,FALSE)-20)=1,0,VLOOKUP(Z103,I66:Y75,17,FALSE)-20)</f>
        <v>2</v>
      </c>
      <c r="BJ103" s="1162">
        <f>IF(1*ISERROR(VLOOKUP(Z103,K66:Y75,15,FALSE)-20)=1,0,VLOOKUP(Z103,K66:Y75,15,FALSE)-20)</f>
        <v>2</v>
      </c>
      <c r="BK103" s="1162">
        <f>IF(1*ISERROR(VLOOKUP(Z103,M66:Y75,13,FALSE)-20)=1,0,VLOOKUP(Z103,M66:Y75,13,FALSE)-20)</f>
        <v>2</v>
      </c>
      <c r="BL103" s="1162">
        <f>IF(1*ISERROR(VLOOKUP(Z103,O66:Y75,11,FALSE)-20)=1,0,VLOOKUP(Z103,O66:Y75,11,FALSE)-20)</f>
        <v>2</v>
      </c>
      <c r="BM103" s="1162">
        <f>IF(1*ISERROR(VLOOKUP(Z103,Q66:Y75,9,FALSE)-20)=1,0,VLOOKUP(Z103,Q66:Y75,9,FALSE)-20)</f>
        <v>2</v>
      </c>
      <c r="BN103" s="1162">
        <f>IF(1*ISERROR(VLOOKUP(Z103,S66:Y75,7,FALSE)-20)=1,0,VLOOKUP(Z103,S66:Y75,7,FALSE)-20)</f>
        <v>2</v>
      </c>
      <c r="BO103" s="1162">
        <f>IF(1*ISERROR(VLOOKUP(Z103,U66:Y75,5,FALSE)-20)=1,0,VLOOKUP(Z103,U66:Y75,5,FALSE)-20)</f>
        <v>2</v>
      </c>
      <c r="BP103" s="1162">
        <f>IF(1*ISERROR(VLOOKUP(Z103,U66:Z75,5,FALSE)-20)=1,0,VLOOKUP(Z103,U66:Z75,5,FALSE)-20)</f>
        <v>2</v>
      </c>
      <c r="BQ103" s="1162">
        <f t="shared" si="12"/>
        <v>23</v>
      </c>
      <c r="BR103" s="1162">
        <f>IF(BQ103=0,35,_xlfn.RANK.EQ(BQ103,BQ98:BQ132))</f>
        <v>10</v>
      </c>
      <c r="BS103" s="1162">
        <f>IF(BR103=35,35,BR103+COUNTIF(BR$98:BR102,BR103)/COUNTIF(BR$98:BR$132,BR103))</f>
        <v>10</v>
      </c>
      <c r="BT103" s="1162">
        <f t="shared" si="13"/>
        <v>10</v>
      </c>
      <c r="BU103" s="1162" t="s">
        <v>380</v>
      </c>
      <c r="BV103" s="1162">
        <f>IF(1*ISERROR(VLOOKUP(Z103,C76:Y85,23,FALSE)-30)=1,0,VLOOKUP(Z103,C76:Y85,23,FALSE)-30)</f>
        <v>3</v>
      </c>
      <c r="BW103" s="1162">
        <f>IF(1*ISERROR(VLOOKUP(Z103,E76:Y85,21,FALSE)-30)=1,0,VLOOKUP(Z103,E76:Y85,21,FALSE)-30)</f>
        <v>2</v>
      </c>
      <c r="BX103" s="1162">
        <f>IF(1*ISERROR(VLOOKUP(Z103,G76:Y85,19,FALSE)-30)=1,0,VLOOKUP(Z103,G76:Y85,19,FALSE)-30)</f>
        <v>2</v>
      </c>
      <c r="BY103" s="1162">
        <f>IF(1*ISERROR(VLOOKUP(Z103,I76:Y85,17,FALSE)-30)=1,0,VLOOKUP(Z103,I76:Y85,17,FALSE)-30)</f>
        <v>2</v>
      </c>
      <c r="BZ103" s="1162">
        <f>IF(1*ISERROR(VLOOKUP(Z103,K76:Y85,15,FALSE)-30)=1,0,VLOOKUP(Z103,K76:Y85,15,FALSE)-30)</f>
        <v>2</v>
      </c>
      <c r="CA103" s="1162">
        <f>IF(1*ISERROR(VLOOKUP(Z103,M76:Y85,13,FALSE)-30)=1,0,VLOOKUP(Z103,M76:Y85,13,FALSE)-30)</f>
        <v>1</v>
      </c>
      <c r="CB103" s="1162">
        <f>IF(1*ISERROR(VLOOKUP(Z103,O76:Y85,11,FALSE)-30)=1,0,VLOOKUP(Z103,O76:Y85,11,FALSE)-30)</f>
        <v>1</v>
      </c>
      <c r="CC103" s="1162">
        <f>IF(1*ISERROR(VLOOKUP(Z103,Q76:Y85,9,FALSE)-30)=1,0,VLOOKUP(Z103,Q76:Y85,9,FALSE)-30)</f>
        <v>1</v>
      </c>
      <c r="CD103" s="1162">
        <f>IF(1*ISERROR(VLOOKUP(Z103,S76:Y85,7,FALSE)-30)=1,0,VLOOKUP(Z103,S76:Y85,7,FALSE)-30)</f>
        <v>1</v>
      </c>
      <c r="CE103" s="1162">
        <f>IF(1*ISERROR(VLOOKUP(Z103,U76:Y85,5,FALSE)-30)=1,0,VLOOKUP(Z103,U76:Y85,5,FALSE)-30)</f>
        <v>0</v>
      </c>
      <c r="CF103" s="1163">
        <v>1</v>
      </c>
      <c r="CG103" s="1162">
        <f t="shared" si="14"/>
        <v>15</v>
      </c>
      <c r="CH103" s="1162">
        <f t="shared" si="15"/>
        <v>14</v>
      </c>
      <c r="CI103" s="1162">
        <f>IF(CH103=35,35,CH103+COUNTIF(CH$98:CH102,CH103)/COUNTIF(CH$98:CH$132,CH103))</f>
        <v>14</v>
      </c>
      <c r="CJ103" s="1162">
        <f t="shared" si="16"/>
        <v>14</v>
      </c>
      <c r="CK103" s="1162" t="s">
        <v>380</v>
      </c>
      <c r="CL103" s="1162">
        <f>IF(1*ISERROR(VLOOKUP(Z103,C86:Y95,23,FALSE)-40)=1,0,VLOOKUP(Z103,C86:Y95,23,FALSE)-40)</f>
        <v>1</v>
      </c>
      <c r="CM103" s="1162">
        <f>IF(1*ISERROR(VLOOKUP(Z103,E86:Y95,21,FALSE)-40)=1,0,VLOOKUP(Z103,E86:Y95,21,FALSE)-40)</f>
        <v>1</v>
      </c>
      <c r="CN103" s="1162">
        <f>IF(1*ISERROR(VLOOKUP(Z103,G86:Y95,19,FALSE)-40)=1,0,VLOOKUP(Z103,G86:Y95,19,FALSE)-40)</f>
        <v>1</v>
      </c>
      <c r="CO103" s="1162">
        <f>IF(1*ISERROR(VLOOKUP(Z103,I86:Y95,17,FALSE)-40)=1,0,VLOOKUP(Z103,I86:Y95,17,FALSE)-40)</f>
        <v>1</v>
      </c>
      <c r="CP103" s="1162">
        <f>IF(1*ISERROR(VLOOKUP(Z103,K86:Y95,15,FALSE)-40)=1,0,VLOOKUP(Z103,K86:Y95,15,FALSE)-40)</f>
        <v>1</v>
      </c>
      <c r="CQ103" s="1162">
        <f>IF(1*ISERROR(VLOOKUP(Z103,M86:Y95,13,FALSE)-40)=1,0,VLOOKUP(Z103,M86:Y95,13,FALSE)-40)</f>
        <v>1</v>
      </c>
      <c r="CR103" s="1162">
        <f>IF(1*ISERROR(VLOOKUP(Z103,O86:Y95,11,FALSE)-40)=1,0,VLOOKUP(Z103,O86:Y95,11,FALSE)-40)</f>
        <v>1</v>
      </c>
      <c r="CS103" s="1162">
        <f>IF(1*ISERROR(VLOOKUP(Z103,Q86:Y95,9,FALSE)-40)=1,0,VLOOKUP(Z103,Q86:Y95,9,FALSE)-40)</f>
        <v>1</v>
      </c>
      <c r="CT103" s="1162">
        <f>IF(1*ISERROR(VLOOKUP(Z103,S86:Y95,7,FALSE)-40)=1,0,VLOOKUP(Z103,S86:Y95,7,FALSE)-40)</f>
        <v>1</v>
      </c>
      <c r="CU103" s="1162">
        <f>IF(1*ISERROR(VLOOKUP(Z103,U86:Y95,5,FALSE)-40)=1,0,VLOOKUP(Z103,U86:Y95,5,FALSE)-40)</f>
        <v>1</v>
      </c>
      <c r="CV103" s="1162">
        <v>1</v>
      </c>
      <c r="CW103" s="1162">
        <f t="shared" si="17"/>
        <v>11</v>
      </c>
      <c r="CX103" s="1162">
        <f>IF(CW103=0,35,_xlfn.RANK.EQ(CW103,CW98:CW132))</f>
        <v>12</v>
      </c>
      <c r="CY103" s="1162">
        <f>IF(CX103=35,35,CX103+COUNTIF(CX$98:CX102,CX103)/COUNTIF(CX$98:CX$132,CX103))</f>
        <v>12</v>
      </c>
      <c r="CZ103" s="1162">
        <f t="shared" si="18"/>
        <v>12</v>
      </c>
      <c r="DA103" s="1162" t="s">
        <v>380</v>
      </c>
      <c r="DB103" s="834"/>
      <c r="DC103" s="834"/>
      <c r="DD103" s="839"/>
      <c r="DE103" s="1098"/>
      <c r="DF103" s="1098"/>
      <c r="DG103" s="1098"/>
      <c r="DH103" s="1098"/>
      <c r="DI103" s="1098"/>
      <c r="DJ103" s="1098"/>
      <c r="DK103" s="1098"/>
      <c r="DL103" s="1098"/>
      <c r="DM103" s="1098"/>
      <c r="DN103" s="1098"/>
      <c r="DO103" s="1098"/>
    </row>
    <row r="104" spans="1:119" s="1086" customFormat="1">
      <c r="Y104" s="1113">
        <f t="shared" si="7"/>
        <v>7</v>
      </c>
      <c r="Z104" s="1162" t="s">
        <v>394</v>
      </c>
      <c r="AA104" s="1162">
        <f>IF(1*ISERROR(VLOOKUP(Z104,C46:Y55,23,FALSE))=1,0,VLOOKUP(Z104,C46:Y55,23,FALSE))</f>
        <v>0</v>
      </c>
      <c r="AB104" s="1162">
        <f>IF(1*ISERROR(VLOOKUP(Z104,E46:Y55,21,FALSE))=1,0,VLOOKUP(Z104,E46:Y55,21,FALSE))</f>
        <v>0</v>
      </c>
      <c r="AC104" s="1162">
        <f>IF(1*ISERROR(VLOOKUP(Z104,G46:Y55,19,FALSE))=1,0,VLOOKUP(Z104,G46:Y55,19,FALSE))</f>
        <v>0</v>
      </c>
      <c r="AD104" s="1162">
        <f>IF(1*ISERROR(VLOOKUP(Z104,I46:Y55,17,FALSE))=1,0,VLOOKUP(Z104,I46:Y55,17,FALSE))</f>
        <v>0</v>
      </c>
      <c r="AE104" s="1162">
        <f>IF(1*ISERROR(VLOOKUP(Z104,K46:Y55,15,FALSE))=1,0,VLOOKUP(Z104,K46:Y55,15,FALSE))</f>
        <v>0</v>
      </c>
      <c r="AF104" s="1162">
        <f>IF(1*ISERROR(VLOOKUP(Z104,M46:Y55,13,FALSE))=1,0,VLOOKUP(Z104,M46:Y55,13,FALSE))</f>
        <v>0</v>
      </c>
      <c r="AG104" s="1162">
        <f>IF(1*ISERROR(VLOOKUP(Z104,O46:Y55,11,FALSE))=1,0,VLOOKUP(Z104,O46:Y55,11,FALSE))</f>
        <v>0</v>
      </c>
      <c r="AH104" s="1162">
        <f>IF(1*ISERROR(VLOOKUP(Z104,Q46:Y55,9,FALSE))=1,0,VLOOKUP(Z104,Q46:Y55,9,FALSE))</f>
        <v>0</v>
      </c>
      <c r="AI104" s="1162">
        <f>IF(1*ISERROR(VLOOKUP(Z104,S46:Y55,7,FALSE))=1,0,VLOOKUP(Z104,S46:Y55,7,FALSE))</f>
        <v>0</v>
      </c>
      <c r="AJ104" s="1162">
        <f>IF(1*ISERROR(VLOOKUP(Z104,U46:Y55,5,FALSE))=1,0,VLOOKUP(Z104,U46:Y55,5,FALSE))</f>
        <v>0</v>
      </c>
      <c r="AK104" s="1162">
        <f t="shared" si="19"/>
        <v>0</v>
      </c>
      <c r="AL104" s="1162">
        <f t="shared" si="8"/>
        <v>0</v>
      </c>
      <c r="AM104" s="1162">
        <f>IF(AL104=0,35,_xlfn.RANK.EQ(AL104,AL98:AL132))</f>
        <v>35</v>
      </c>
      <c r="AN104" s="1162">
        <f>IF(AM104=35,35,AM104+COUNTIF(AM$98:AM103,AM104)/COUNTIF(AM$98:AM$132,AM104))</f>
        <v>35</v>
      </c>
      <c r="AO104" s="1162">
        <f t="shared" si="9"/>
        <v>13</v>
      </c>
      <c r="AP104" s="1162" t="s">
        <v>394</v>
      </c>
      <c r="AQ104" s="1162">
        <f>IF(1*ISERROR(VLOOKUP(Z104,C56:Y65,23,FALSE)-10)=1,0,VLOOKUP(Z104,C56:Y65,23,FALSE)-10)</f>
        <v>0</v>
      </c>
      <c r="AR104" s="1162">
        <f>IF(1*ISERROR(VLOOKUP(Z104,E56:Y65,21,FALSE)-10)=1,0,VLOOKUP(Z104,E56:Y65,21,FALSE)-10)</f>
        <v>0</v>
      </c>
      <c r="AS104" s="1162">
        <f>IF(1*ISERROR(VLOOKUP(Z104,G56:Y65,19,FALSE)-10)=1,0,VLOOKUP(Z104,G56:Y65,19,FALSE)-10)</f>
        <v>0</v>
      </c>
      <c r="AT104" s="1162">
        <f>IF(1*ISERROR(VLOOKUP(Z104,I56:Y65,17,FALSE)-10)=1,0,VLOOKUP(Z104,I56:Y65,17,FALSE)-10)</f>
        <v>0</v>
      </c>
      <c r="AU104" s="1162">
        <f>IF(1*ISERROR(VLOOKUP(Z104,K56:Y65,15,FALSE)-10)=1,0,VLOOKUP(Z104,K56:Y65,15,FALSE)-10)</f>
        <v>0</v>
      </c>
      <c r="AV104" s="1162">
        <f>IF(1*ISERROR(VLOOKUP(Z104,M56:Y65,13,FALSE)-10)=1,0,VLOOKUP(Z104,M56:Y65,13,FALSE)-10)</f>
        <v>0</v>
      </c>
      <c r="AW104" s="1162">
        <f>IF(1*ISERROR(VLOOKUP(Z104,O56:Y65,11,FALSE)-10)=1,0,VLOOKUP(Z104,O56:Y65,11,FALSE)-10)</f>
        <v>0</v>
      </c>
      <c r="AX104" s="1162">
        <f>IF(1*ISERROR(VLOOKUP(Z104,Q56:Y65,9,FALSE)-10)=1,0,VLOOKUP(Z104,Q56:Y65,9,FALSE)-10)</f>
        <v>0</v>
      </c>
      <c r="AY104" s="1162">
        <f>IF(1*ISERROR(VLOOKUP(Z104,S56:Y65,7,FALSE)-10)=1,0,VLOOKUP(Z104,S56:Y65,7,FALSE)-10)</f>
        <v>0</v>
      </c>
      <c r="AZ104" s="1163">
        <f>IF(1*ISERROR(VLOOKUP(Z104,U56:Y65,5,FALSE)-10)=1,0,VLOOKUP(Z104,U56:Y65,5,FALSE)-10)</f>
        <v>10</v>
      </c>
      <c r="BA104" s="1162">
        <f t="shared" si="10"/>
        <v>10</v>
      </c>
      <c r="BB104" s="1162">
        <f>IF(BA104=0,35,_xlfn.RANK.EQ(BA104,BA98:BA132))</f>
        <v>11</v>
      </c>
      <c r="BC104" s="1162">
        <f>IF(BB104=35,35,BB104+COUNTIF(BB$98:BB103,BB104)/COUNTIF(BB$98:BB$132,BB104))</f>
        <v>11.5</v>
      </c>
      <c r="BD104" s="1162">
        <f t="shared" si="11"/>
        <v>12</v>
      </c>
      <c r="BE104" s="1162" t="s">
        <v>394</v>
      </c>
      <c r="BF104" s="1162">
        <f>IF(1*ISERROR(VLOOKUP(Z104,C66:Y75,23,FALSE)-20)=1,0,VLOOKUP(Z104,C66:Y75,23,FALSE)-20)</f>
        <v>7</v>
      </c>
      <c r="BG104" s="1162">
        <f>IF(1*ISERROR(VLOOKUP(Z104,E66:Y75,21,FALSE)-20)=1,0,VLOOKUP(Z104,E66:Y75,21,FALSE)-20)</f>
        <v>9</v>
      </c>
      <c r="BH104" s="1162">
        <f>IF(1*ISERROR(VLOOKUP(Z104,G66:Y75,19,FALSE)-20)=1,0,VLOOKUP(Z104,G66:Y75,19,FALSE)-20)</f>
        <v>8</v>
      </c>
      <c r="BI104" s="1162">
        <f>IF(1*ISERROR(VLOOKUP(Z104,I66:Y75,17,FALSE)-20)=1,0,VLOOKUP(Z104,I66:Y75,17,FALSE)-20)</f>
        <v>6</v>
      </c>
      <c r="BJ104" s="1162">
        <f>IF(1*ISERROR(VLOOKUP(Z104,K66:Y75,15,FALSE)-20)=1,0,VLOOKUP(Z104,K66:Y75,15,FALSE)-20)</f>
        <v>5</v>
      </c>
      <c r="BK104" s="1162">
        <f>IF(1*ISERROR(VLOOKUP(Z104,M66:Y75,13,FALSE)-20)=1,0,VLOOKUP(Z104,M66:Y75,13,FALSE)-20)</f>
        <v>5</v>
      </c>
      <c r="BL104" s="1162">
        <f>IF(1*ISERROR(VLOOKUP(Z104,O66:Y75,11,FALSE)-20)=1,0,VLOOKUP(Z104,O66:Y75,11,FALSE)-20)</f>
        <v>4</v>
      </c>
      <c r="BM104" s="1162">
        <f>IF(1*ISERROR(VLOOKUP(Z104,Q66:Y75,9,FALSE)-20)=1,0,VLOOKUP(Z104,Q66:Y75,9,FALSE)-20)</f>
        <v>4</v>
      </c>
      <c r="BN104" s="1162">
        <f>IF(1*ISERROR(VLOOKUP(Z104,S66:Y75,7,FALSE)-20)=1,0,VLOOKUP(Z104,S66:Y75,7,FALSE)-20)</f>
        <v>3</v>
      </c>
      <c r="BO104" s="1162">
        <f>IF(1*ISERROR(VLOOKUP(Z104,U66:Y75,5,FALSE)-20)=1,0,VLOOKUP(Z104,U66:Y75,5,FALSE)-20)</f>
        <v>3</v>
      </c>
      <c r="BP104" s="1162">
        <f>IF(1*ISERROR(VLOOKUP(Z104,U67:Z76,5,FALSE)-20)=1,0,VLOOKUP(Z104,U67:Z76,5,FALSE)-20)</f>
        <v>3</v>
      </c>
      <c r="BQ104" s="1162">
        <f t="shared" si="12"/>
        <v>57</v>
      </c>
      <c r="BR104" s="1162">
        <f>IF(BQ104=0,35,_xlfn.RANK.EQ(BQ104,BQ98:BQ132))</f>
        <v>6</v>
      </c>
      <c r="BS104" s="1162">
        <f>IF(BR104=35,35,BR104+COUNTIF(BR$98:BR103,BR104)/COUNTIF(BR$98:BR$132,BR104))</f>
        <v>6</v>
      </c>
      <c r="BT104" s="1162">
        <f t="shared" si="13"/>
        <v>6</v>
      </c>
      <c r="BU104" s="1162" t="s">
        <v>394</v>
      </c>
      <c r="BV104" s="1162">
        <f>IF(1*ISERROR(VLOOKUP(Z104,C76:Y85,23,FALSE)-30)=1,0,VLOOKUP(Z104,C76:Y85,23,FALSE)-30)</f>
        <v>0</v>
      </c>
      <c r="BW104" s="1162">
        <f>IF(1*ISERROR(VLOOKUP(Z104,E76:Y85,21,FALSE)-30)=1,0,VLOOKUP(Z104,E76:Y85,21,FALSE)-30)</f>
        <v>0</v>
      </c>
      <c r="BX104" s="1162">
        <f>IF(1*ISERROR(VLOOKUP(Z104,G76:Y85,19,FALSE)-30)=1,0,VLOOKUP(Z104,G76:Y85,19,FALSE)-30)</f>
        <v>0</v>
      </c>
      <c r="BY104" s="1162">
        <f>IF(1*ISERROR(VLOOKUP(Z104,I76:Y85,17,FALSE)-30)=1,0,VLOOKUP(Z104,I76:Y85,17,FALSE)-30)</f>
        <v>0</v>
      </c>
      <c r="BZ104" s="1162">
        <f>IF(1*ISERROR(VLOOKUP(Z104,K76:Y85,15,FALSE)-30)=1,0,VLOOKUP(Z104,K76:Y85,15,FALSE)-30)</f>
        <v>0</v>
      </c>
      <c r="CA104" s="1162">
        <f>IF(1*ISERROR(VLOOKUP(Z104,M76:Y85,13,FALSE)-30)=1,0,VLOOKUP(Z104,M76:Y85,13,FALSE)-30)</f>
        <v>0</v>
      </c>
      <c r="CB104" s="1162">
        <f>IF(1*ISERROR(VLOOKUP(Z104,O76:Y85,11,FALSE)-30)=1,0,VLOOKUP(Z104,O76:Y85,11,FALSE)-30)</f>
        <v>0</v>
      </c>
      <c r="CC104" s="1162">
        <f>IF(1*ISERROR(VLOOKUP(Z104,Q76:Y85,9,FALSE)-30)=1,0,VLOOKUP(Z104,Q76:Y85,9,FALSE)-30)</f>
        <v>0</v>
      </c>
      <c r="CD104" s="1162">
        <f>IF(1*ISERROR(VLOOKUP(Z104,S76:Y85,7,FALSE)-30)=1,0,VLOOKUP(Z104,S76:Y85,7,FALSE)-30)</f>
        <v>0</v>
      </c>
      <c r="CE104" s="1162">
        <f>IF(1*ISERROR(VLOOKUP(Z104,U76:Y85,5,FALSE)-30)=1,0,VLOOKUP(Z104,U76:Y85,5,FALSE)-30)</f>
        <v>0</v>
      </c>
      <c r="CF104" s="1163">
        <v>10</v>
      </c>
      <c r="CG104" s="1162">
        <f t="shared" si="14"/>
        <v>0</v>
      </c>
      <c r="CH104" s="1162">
        <f t="shared" si="15"/>
        <v>35</v>
      </c>
      <c r="CI104" s="1162">
        <f>IF(CH104=35,35,CH104+COUNTIF(CH$98:CH103,CH104)/COUNTIF(CH$98:CH$132,CH104))</f>
        <v>35</v>
      </c>
      <c r="CJ104" s="1162">
        <f t="shared" si="16"/>
        <v>20</v>
      </c>
      <c r="CK104" s="1162" t="s">
        <v>394</v>
      </c>
      <c r="CL104" s="1162">
        <f>IF(1*ISERROR(VLOOKUP(Z104,C86:Y95,23,FALSE)-40)=1,0,VLOOKUP(Z104,C86:Y95,23,FALSE)-40)</f>
        <v>8</v>
      </c>
      <c r="CM104" s="1162">
        <f>IF(1*ISERROR(VLOOKUP(Z104,E86:Y95,21,FALSE)-40)=1,0,VLOOKUP(Z104,E86:Y95,21,FALSE)-40)</f>
        <v>7</v>
      </c>
      <c r="CN104" s="1162">
        <f>IF(1*ISERROR(VLOOKUP(Z104,G86:Y95,19,FALSE)-40)=1,0,VLOOKUP(Z104,G86:Y95,19,FALSE)-40)</f>
        <v>8</v>
      </c>
      <c r="CO104" s="1162">
        <f>IF(1*ISERROR(VLOOKUP(Z104,I86:Y95,17,FALSE)-40)=1,0,VLOOKUP(Z104,I86:Y95,17,FALSE)-40)</f>
        <v>7</v>
      </c>
      <c r="CP104" s="1162">
        <f>IF(1*ISERROR(VLOOKUP(Z104,K86:Y95,15,FALSE)-40)=1,0,VLOOKUP(Z104,K86:Y95,15,FALSE)-40)</f>
        <v>9</v>
      </c>
      <c r="CQ104" s="1162">
        <f>IF(1*ISERROR(VLOOKUP(Z104,M86:Y95,13,FALSE)-40)=1,0,VLOOKUP(Z104,M86:Y95,13,FALSE)-40)</f>
        <v>9</v>
      </c>
      <c r="CR104" s="1162">
        <f>IF(1*ISERROR(VLOOKUP(Z104,O86:Y95,11,FALSE)-40)=1,0,VLOOKUP(Z104,O86:Y95,11,FALSE)-40)</f>
        <v>9</v>
      </c>
      <c r="CS104" s="1162">
        <f>IF(1*ISERROR(VLOOKUP(Z104,Q86:Y95,9,FALSE)-40)=1,0,VLOOKUP(Z104,Q86:Y95,9,FALSE)-40)</f>
        <v>9</v>
      </c>
      <c r="CT104" s="1162">
        <f>IF(1*ISERROR(VLOOKUP(Z104,S86:Y95,7,FALSE)-40)=1,0,VLOOKUP(Z104,S86:Y95,7,FALSE)-40)</f>
        <v>8</v>
      </c>
      <c r="CU104" s="1162">
        <f>IF(1*ISERROR(VLOOKUP(Z104,U86:Y95,5,FALSE)-40)=1,0,VLOOKUP(Z104,U86:Y95,5,FALSE)-40)</f>
        <v>8</v>
      </c>
      <c r="CV104" s="1162">
        <v>9</v>
      </c>
      <c r="CW104" s="1162">
        <f t="shared" si="17"/>
        <v>91</v>
      </c>
      <c r="CX104" s="1162">
        <f>IF(CW104=0,35,_xlfn.RANK.EQ(CW104,CW98:CW132))</f>
        <v>1</v>
      </c>
      <c r="CY104" s="1162">
        <f>IF(CX104=35,35,CX104+COUNTIF(CX$98:CX103,CX104)/COUNTIF(CX$98:CX$132,CX104))</f>
        <v>1</v>
      </c>
      <c r="CZ104" s="1162">
        <f t="shared" si="18"/>
        <v>1</v>
      </c>
      <c r="DA104" s="1162" t="s">
        <v>394</v>
      </c>
      <c r="DB104" s="834"/>
      <c r="DC104" s="834"/>
      <c r="DD104" s="839"/>
      <c r="DE104" s="1098"/>
      <c r="DF104" s="1098"/>
      <c r="DG104" s="1098"/>
      <c r="DH104" s="1098"/>
      <c r="DI104" s="1098"/>
      <c r="DJ104" s="1098"/>
      <c r="DK104" s="1098"/>
      <c r="DL104" s="1098"/>
      <c r="DM104" s="1098"/>
      <c r="DN104" s="1098"/>
      <c r="DO104" s="1098"/>
    </row>
    <row r="105" spans="1:119" s="1086" customFormat="1">
      <c r="Y105" s="1113">
        <f t="shared" si="7"/>
        <v>8</v>
      </c>
      <c r="Z105" s="1162" t="s">
        <v>391</v>
      </c>
      <c r="AA105" s="1162">
        <f>IF(1*ISERROR(VLOOKUP(Z105,C46:Y55,23,FALSE))=1,0,VLOOKUP(Z105,C46:Y55,23,FALSE))</f>
        <v>0</v>
      </c>
      <c r="AB105" s="1162">
        <f>IF(1*ISERROR(VLOOKUP(Z105,E46:Y55,21,FALSE))=1,0,VLOOKUP(Z105,E46:Y55,21,FALSE))</f>
        <v>0</v>
      </c>
      <c r="AC105" s="1162">
        <f>IF(1*ISERROR(VLOOKUP(Z105,G46:Y55,19,FALSE))=1,0,VLOOKUP(Z105,G46:Y55,19,FALSE))</f>
        <v>0</v>
      </c>
      <c r="AD105" s="1162">
        <f>IF(1*ISERROR(VLOOKUP(Z105,I46:Y55,17,FALSE))=1,0,VLOOKUP(Z105,I46:Y55,17,FALSE))</f>
        <v>0</v>
      </c>
      <c r="AE105" s="1162">
        <f>IF(1*ISERROR(VLOOKUP(Z105,K46:Y55,15,FALSE))=1,0,VLOOKUP(Z105,K46:Y55,15,FALSE))</f>
        <v>0</v>
      </c>
      <c r="AF105" s="1162">
        <f>IF(1*ISERROR(VLOOKUP(Z105,M46:Y55,13,FALSE))=1,0,VLOOKUP(Z105,M46:Y55,13,FALSE))</f>
        <v>0</v>
      </c>
      <c r="AG105" s="1162">
        <f>IF(1*ISERROR(VLOOKUP(Z105,O46:Y55,11,FALSE))=1,0,VLOOKUP(Z105,O46:Y55,11,FALSE))</f>
        <v>0</v>
      </c>
      <c r="AH105" s="1162">
        <f>IF(1*ISERROR(VLOOKUP(Z105,Q46:Y55,9,FALSE))=1,0,VLOOKUP(Z105,Q46:Y55,9,FALSE))</f>
        <v>0</v>
      </c>
      <c r="AI105" s="1162">
        <f>IF(1*ISERROR(VLOOKUP(Z105,S46:Y55,7,FALSE))=1,0,VLOOKUP(Z105,S46:Y55,7,FALSE))</f>
        <v>0</v>
      </c>
      <c r="AJ105" s="1162">
        <f>IF(1*ISERROR(VLOOKUP(Z105,U46:Y55,5,FALSE))=1,0,VLOOKUP(Z105,U46:Y55,5,FALSE))</f>
        <v>0</v>
      </c>
      <c r="AK105" s="1162">
        <f t="shared" si="19"/>
        <v>0</v>
      </c>
      <c r="AL105" s="1162">
        <f t="shared" si="8"/>
        <v>0</v>
      </c>
      <c r="AM105" s="1162">
        <f>IF(AL105=0,35,_xlfn.RANK.EQ(AL105,AL98:AL132))</f>
        <v>35</v>
      </c>
      <c r="AN105" s="1162">
        <f>IF(AM105=35,35,AM105+COUNTIF(AM$98:AM104,AM105)/COUNTIF(AM$98:AM$132,AM105))</f>
        <v>35</v>
      </c>
      <c r="AO105" s="1162">
        <f t="shared" si="9"/>
        <v>13</v>
      </c>
      <c r="AP105" s="1162" t="s">
        <v>391</v>
      </c>
      <c r="AQ105" s="1162">
        <f>IF(1*ISERROR(VLOOKUP(Z105,C56:Y65,23,FALSE)-10)=1,0,VLOOKUP(Z105,C56:Y65,23,FALSE)-10)</f>
        <v>4</v>
      </c>
      <c r="AR105" s="1162">
        <f>IF(1*ISERROR(VLOOKUP(Z105,E56:Y65,21,FALSE)-10)=1,0,VLOOKUP(Z105,E56:Y65,21,FALSE)-10)</f>
        <v>4</v>
      </c>
      <c r="AS105" s="1162">
        <f>IF(1*ISERROR(VLOOKUP(Z105,G56:Y65,19,FALSE)-10)=1,0,VLOOKUP(Z105,G56:Y65,19,FALSE)-10)</f>
        <v>5</v>
      </c>
      <c r="AT105" s="1162">
        <f>IF(1*ISERROR(VLOOKUP(Z105,I56:Y65,17,FALSE)-10)=1,0,VLOOKUP(Z105,I56:Y65,17,FALSE)-10)</f>
        <v>8</v>
      </c>
      <c r="AU105" s="1162">
        <f>IF(1*ISERROR(VLOOKUP(Z105,K56:Y65,15,FALSE)-10)=1,0,VLOOKUP(Z105,K56:Y65,15,FALSE)-10)</f>
        <v>9</v>
      </c>
      <c r="AV105" s="1162">
        <f>IF(1*ISERROR(VLOOKUP(Z105,M56:Y65,13,FALSE)-10)=1,0,VLOOKUP(Z105,M56:Y65,13,FALSE)-10)</f>
        <v>8</v>
      </c>
      <c r="AW105" s="1162">
        <f>IF(1*ISERROR(VLOOKUP(Z105,O56:Y65,11,FALSE)-10)=1,0,VLOOKUP(Z105,O56:Y65,11,FALSE)-10)</f>
        <v>8</v>
      </c>
      <c r="AX105" s="1162">
        <f>IF(1*ISERROR(VLOOKUP(Z105,Q56:Y65,9,FALSE)-10)=1,0,VLOOKUP(Z105,Q56:Y65,9,FALSE)-10)</f>
        <v>8</v>
      </c>
      <c r="AY105" s="1162">
        <f>IF(1*ISERROR(VLOOKUP(Z105,S56:Y65,7,FALSE)-10)=1,0,VLOOKUP(Z105,S56:Y65,7,FALSE)-10)</f>
        <v>8</v>
      </c>
      <c r="AZ105" s="1163">
        <f>IF(1*ISERROR(VLOOKUP(Z105,U56:Y65,5,FALSE)-10)=1,0,VLOOKUP(Z105,U56:Y65,5,FALSE)-10)</f>
        <v>8</v>
      </c>
      <c r="BA105" s="1162">
        <f t="shared" si="10"/>
        <v>70</v>
      </c>
      <c r="BB105" s="1162">
        <f>IF(BA105=0,35,_xlfn.RANK.EQ(BA105,BA98:BA132))</f>
        <v>2</v>
      </c>
      <c r="BC105" s="1162">
        <f>IF(BB105=35,35,BB105+COUNTIF(BB$98:BB104,BB105)/COUNTIF(BB$98:BB$132,BB105))</f>
        <v>2</v>
      </c>
      <c r="BD105" s="1162">
        <f t="shared" si="11"/>
        <v>2</v>
      </c>
      <c r="BE105" s="1162" t="s">
        <v>391</v>
      </c>
      <c r="BF105" s="1162">
        <f>IF(1*ISERROR(VLOOKUP(Z105,C66:Y75,23,FALSE)-20)=1,0,VLOOKUP(Z105,C66:Y75,23,FALSE)-20)</f>
        <v>2</v>
      </c>
      <c r="BG105" s="1162">
        <f>IF(1*ISERROR(VLOOKUP(Z105,E66:Y75,21,FALSE)-20)=1,0,VLOOKUP(Z105,E66:Y75,21,FALSE)-20)</f>
        <v>3</v>
      </c>
      <c r="BH105" s="1162">
        <f>IF(1*ISERROR(VLOOKUP(Z105,G66:Y75,19,FALSE)-20)=1,0,VLOOKUP(Z105,G66:Y75,19,FALSE)-20)</f>
        <v>4</v>
      </c>
      <c r="BI105" s="1162">
        <f>IF(1*ISERROR(VLOOKUP(Z105,I66:Y75,17,FALSE)-20)=1,0,VLOOKUP(Z105,I66:Y75,17,FALSE)-20)</f>
        <v>4</v>
      </c>
      <c r="BJ105" s="1162">
        <f>IF(1*ISERROR(VLOOKUP(Z105,K66:Y75,15,FALSE)-20)=1,0,VLOOKUP(Z105,K66:Y75,15,FALSE)-20)</f>
        <v>4</v>
      </c>
      <c r="BK105" s="1162">
        <f>IF(1*ISERROR(VLOOKUP(Z105,M66:Y75,13,FALSE)-20)=1,0,VLOOKUP(Z105,M66:Y75,13,FALSE)-20)</f>
        <v>4</v>
      </c>
      <c r="BL105" s="1162">
        <f>IF(1*ISERROR(VLOOKUP(Z105,O66:Y75,11,FALSE)-20)=1,0,VLOOKUP(Z105,O66:Y75,11,FALSE)-20)</f>
        <v>3</v>
      </c>
      <c r="BM105" s="1162">
        <f>IF(1*ISERROR(VLOOKUP(Z105,Q66:Y75,9,FALSE)-20)=1,0,VLOOKUP(Z105,Q66:Y75,9,FALSE)-20)</f>
        <v>3</v>
      </c>
      <c r="BN105" s="1162">
        <f>IF(1*ISERROR(VLOOKUP(Z105,S66:Y75,7,FALSE)-20)=1,0,VLOOKUP(Z105,S66:Y75,7,FALSE)-20)</f>
        <v>5</v>
      </c>
      <c r="BO105" s="1162">
        <f>IF(1*ISERROR(VLOOKUP(Z105,U66:Y75,5,FALSE)-20)=1,0,VLOOKUP(Z105,U66:Y75,5,FALSE)-20)</f>
        <v>5</v>
      </c>
      <c r="BP105" s="1162">
        <v>4</v>
      </c>
      <c r="BQ105" s="1162">
        <f t="shared" si="12"/>
        <v>41</v>
      </c>
      <c r="BR105" s="1162">
        <f>IF(BQ105=0,35,_xlfn.RANK.EQ(BQ105,BQ98:BQ132))</f>
        <v>8</v>
      </c>
      <c r="BS105" s="1162">
        <f>IF(BR105=35,35,BR105+COUNTIF(BR$98:BR104,BR105)/COUNTIF(BR$98:BR$132,BR105))</f>
        <v>8</v>
      </c>
      <c r="BT105" s="1162">
        <f t="shared" si="13"/>
        <v>8</v>
      </c>
      <c r="BU105" s="1162" t="s">
        <v>391</v>
      </c>
      <c r="BV105" s="1162">
        <f>IF(1*ISERROR(VLOOKUP(Z105,C76:Y85,23,FALSE)-30)=1,0,VLOOKUP(Z105,C76:Y85,23,FALSE)-30)</f>
        <v>0</v>
      </c>
      <c r="BW105" s="1162">
        <f>IF(1*ISERROR(VLOOKUP(Z105,E76:Y85,21,FALSE)-30)=1,0,VLOOKUP(Z105,E76:Y85,21,FALSE)-30)</f>
        <v>0</v>
      </c>
      <c r="BX105" s="1162">
        <f>IF(1*ISERROR(VLOOKUP(Z105,G76:Y85,19,FALSE)-30)=1,0,VLOOKUP(Z105,G76:Y85,19,FALSE)-30)</f>
        <v>0</v>
      </c>
      <c r="BY105" s="1162">
        <f>IF(1*ISERROR(VLOOKUP(Z105,I76:Y85,17,FALSE)-30)=1,0,VLOOKUP(Z105,I76:Y85,17,FALSE)-30)</f>
        <v>0</v>
      </c>
      <c r="BZ105" s="1162">
        <f>IF(1*ISERROR(VLOOKUP(Z105,K76:Y85,15,FALSE)-30)=1,0,VLOOKUP(Z105,K76:Y85,15,FALSE)-30)</f>
        <v>0</v>
      </c>
      <c r="CA105" s="1162">
        <f>IF(1*ISERROR(VLOOKUP(Z105,M76:Y85,13,FALSE)-30)=1,0,VLOOKUP(Z105,M76:Y85,13,FALSE)-30)</f>
        <v>0</v>
      </c>
      <c r="CB105" s="1162">
        <f>IF(1*ISERROR(VLOOKUP(Z105,O76:Y85,11,FALSE)-30)=1,0,VLOOKUP(Z105,O76:Y85,11,FALSE)-30)</f>
        <v>0</v>
      </c>
      <c r="CC105" s="1162">
        <f>IF(1*ISERROR(VLOOKUP(Z105,Q76:Y85,9,FALSE)-30)=1,0,VLOOKUP(Z105,Q76:Y85,9,FALSE)-30)</f>
        <v>0</v>
      </c>
      <c r="CD105" s="1162">
        <f>IF(1*ISERROR(VLOOKUP(Z105,S76:Y85,7,FALSE)-30)=1,0,VLOOKUP(Z105,S76:Y85,7,FALSE)-30)</f>
        <v>0</v>
      </c>
      <c r="CE105" s="1162">
        <f>IF(1*ISERROR(VLOOKUP(Z105,U76:Y85,5,FALSE)-30)=1,0,VLOOKUP(Z105,U76:Y85,5,FALSE)-30)</f>
        <v>2</v>
      </c>
      <c r="CF105" s="1163">
        <f>IF(1*ISERROR(VLOOKUP(Z105,U80:Z89,5,FALSE)-30)=1,0,VLOOKUP(Z105,U80:Z89,5,FALSE)-30)</f>
        <v>0</v>
      </c>
      <c r="CG105" s="1162">
        <f t="shared" si="14"/>
        <v>2</v>
      </c>
      <c r="CH105" s="1162">
        <f t="shared" si="15"/>
        <v>18</v>
      </c>
      <c r="CI105" s="1162">
        <f>IF(CH105=35,35,CH105+COUNTIF(CH$98:CH104,CH105)/COUNTIF(CH$98:CH$132,CH105))</f>
        <v>18</v>
      </c>
      <c r="CJ105" s="1162">
        <f t="shared" si="16"/>
        <v>18</v>
      </c>
      <c r="CK105" s="1162" t="s">
        <v>391</v>
      </c>
      <c r="CL105" s="1162">
        <f>IF(1*ISERROR(VLOOKUP(Z105,C86:Y95,23,FALSE)-40)=1,0,VLOOKUP(Z105,C86:Y95,23,FALSE)-40)</f>
        <v>6</v>
      </c>
      <c r="CM105" s="1162">
        <f>IF(1*ISERROR(VLOOKUP(Z105,E86:Y95,21,FALSE)-40)=1,0,VLOOKUP(Z105,E86:Y95,21,FALSE)-40)</f>
        <v>6</v>
      </c>
      <c r="CN105" s="1162">
        <f>IF(1*ISERROR(VLOOKUP(Z105,G86:Y95,19,FALSE)-40)=1,0,VLOOKUP(Z105,G86:Y95,19,FALSE)-40)</f>
        <v>5</v>
      </c>
      <c r="CO105" s="1162">
        <f>IF(1*ISERROR(VLOOKUP(Z105,I86:Y95,17,FALSE)-40)=1,0,VLOOKUP(Z105,I86:Y95,17,FALSE)-40)</f>
        <v>5</v>
      </c>
      <c r="CP105" s="1162">
        <f>IF(1*ISERROR(VLOOKUP(Z105,K86:Y95,15,FALSE)-40)=1,0,VLOOKUP(Z105,K86:Y95,15,FALSE)-40)</f>
        <v>5</v>
      </c>
      <c r="CQ105" s="1162">
        <f>IF(1*ISERROR(VLOOKUP(Z105,M86:Y95,13,FALSE)-40)=1,0,VLOOKUP(Z105,M86:Y95,13,FALSE)-40)</f>
        <v>5</v>
      </c>
      <c r="CR105" s="1162">
        <f>IF(1*ISERROR(VLOOKUP(Z105,O86:Y95,11,FALSE)-40)=1,0,VLOOKUP(Z105,O86:Y95,11,FALSE)-40)</f>
        <v>5</v>
      </c>
      <c r="CS105" s="1162">
        <f>IF(1*ISERROR(VLOOKUP(Z105,Q86:Y95,9,FALSE)-40)=1,0,VLOOKUP(Z105,Q86:Y95,9,FALSE)-40)</f>
        <v>5</v>
      </c>
      <c r="CT105" s="1162">
        <f>IF(1*ISERROR(VLOOKUP(Z105,S86:Y95,7,FALSE)-40)=1,0,VLOOKUP(Z105,S86:Y95,7,FALSE)-40)</f>
        <v>5</v>
      </c>
      <c r="CU105" s="1162">
        <f>IF(1*ISERROR(VLOOKUP(Z105,U86:Y95,5,FALSE)-40)=1,0,VLOOKUP(Z105,U86:Y95,5,FALSE)-40)</f>
        <v>5</v>
      </c>
      <c r="CV105" s="1162">
        <v>5</v>
      </c>
      <c r="CW105" s="1162">
        <f t="shared" si="17"/>
        <v>57</v>
      </c>
      <c r="CX105" s="1162">
        <f>IF(CW105=0,35,_xlfn.RANK.EQ(CW105,CW98:CW132))</f>
        <v>5</v>
      </c>
      <c r="CY105" s="1162">
        <f>IF(CX105=35,35,CX105+COUNTIF(CX$98:CX104,CX105)/COUNTIF(CX$98:CX$132,CX105))</f>
        <v>5</v>
      </c>
      <c r="CZ105" s="1162">
        <f t="shared" si="18"/>
        <v>5</v>
      </c>
      <c r="DA105" s="1162" t="s">
        <v>391</v>
      </c>
      <c r="DB105" s="834"/>
      <c r="DC105" s="834"/>
      <c r="DD105" s="839"/>
      <c r="DE105" s="1098"/>
      <c r="DF105" s="1098"/>
      <c r="DG105" s="1098"/>
      <c r="DH105" s="1098"/>
      <c r="DI105" s="1098"/>
      <c r="DJ105" s="1098"/>
      <c r="DK105" s="1098"/>
      <c r="DL105" s="1098"/>
      <c r="DM105" s="1098"/>
      <c r="DN105" s="1098"/>
      <c r="DO105" s="1098"/>
    </row>
    <row r="106" spans="1:119" s="1086" customFormat="1">
      <c r="Y106" s="1113">
        <f t="shared" si="7"/>
        <v>9</v>
      </c>
      <c r="Z106" s="1162" t="s">
        <v>388</v>
      </c>
      <c r="AA106" s="1162">
        <f>IF(1*ISERROR(VLOOKUP(Z106,C46:Y55,23,FALSE))=1,0,VLOOKUP(Z106,C46:Y55,23,FALSE))</f>
        <v>0</v>
      </c>
      <c r="AB106" s="1162">
        <f>IF(1*ISERROR(VLOOKUP(Z106,E46:Y55,21,FALSE))=1,0,VLOOKUP(Z106,E46:Y55,21,FALSE))</f>
        <v>0</v>
      </c>
      <c r="AC106" s="1162">
        <f>IF(1*ISERROR(VLOOKUP(Z106,G46:Y55,19,FALSE))=1,0,VLOOKUP(Z106,G46:Y55,19,FALSE))</f>
        <v>0</v>
      </c>
      <c r="AD106" s="1162">
        <f>IF(1*ISERROR(VLOOKUP(Z106,I46:Y55,17,FALSE))=1,0,VLOOKUP(Z106,I46:Y55,17,FALSE))</f>
        <v>0</v>
      </c>
      <c r="AE106" s="1162">
        <f>IF(1*ISERROR(VLOOKUP(Z106,K46:Y55,15,FALSE))=1,0,VLOOKUP(Z106,K46:Y55,15,FALSE))</f>
        <v>0</v>
      </c>
      <c r="AF106" s="1162">
        <f>IF(1*ISERROR(VLOOKUP(Z106,M46:Y55,13,FALSE))=1,0,VLOOKUP(Z106,M46:Y55,13,FALSE))</f>
        <v>0</v>
      </c>
      <c r="AG106" s="1162">
        <f>IF(1*ISERROR(VLOOKUP(Z106,O46:Y55,11,FALSE))=1,0,VLOOKUP(Z106,O46:Y55,11,FALSE))</f>
        <v>0</v>
      </c>
      <c r="AH106" s="1162">
        <f>IF(1*ISERROR(VLOOKUP(Z106,Q46:Y55,9,FALSE))=1,0,VLOOKUP(Z106,Q46:Y55,9,FALSE))</f>
        <v>0</v>
      </c>
      <c r="AI106" s="1162">
        <f>IF(1*ISERROR(VLOOKUP(Z106,S46:Y55,7,FALSE))=1,0,VLOOKUP(Z106,S46:Y55,7,FALSE))</f>
        <v>0</v>
      </c>
      <c r="AJ106" s="1162">
        <f>IF(1*ISERROR(VLOOKUP(Z106,U46:Y55,5,FALSE))=1,0,VLOOKUP(Z106,U46:Y55,5,FALSE))</f>
        <v>0</v>
      </c>
      <c r="AK106" s="1162">
        <f t="shared" si="19"/>
        <v>0</v>
      </c>
      <c r="AL106" s="1162">
        <f t="shared" si="8"/>
        <v>0</v>
      </c>
      <c r="AM106" s="1162">
        <f>IF(AL106=0,35,_xlfn.RANK.EQ(AL106,AL98:AL132))</f>
        <v>35</v>
      </c>
      <c r="AN106" s="1162">
        <f>IF(AM106=35,35,AM106+COUNTIF(AM$98:AM105,AM106)/COUNTIF(AM$98:AM$132,AM106))</f>
        <v>35</v>
      </c>
      <c r="AO106" s="1162">
        <f t="shared" si="9"/>
        <v>13</v>
      </c>
      <c r="AP106" s="1162" t="s">
        <v>388</v>
      </c>
      <c r="AQ106" s="1162">
        <f>IF(1*ISERROR(VLOOKUP(Z106,C56:Y65,23,FALSE)-10)=1,0,VLOOKUP(Z106,C56:Y65,23,FALSE)-10)</f>
        <v>2</v>
      </c>
      <c r="AR106" s="1162">
        <f>IF(1*ISERROR(VLOOKUP(Z106,E56:Y65,21,FALSE)-10)=1,0,VLOOKUP(Z106,E56:Y65,21,FALSE)-10)</f>
        <v>3</v>
      </c>
      <c r="AS106" s="1162">
        <f>IF(1*ISERROR(VLOOKUP(Z106,G56:Y65,19,FALSE)-10)=1,0,VLOOKUP(Z106,G56:Y65,19,FALSE)-10)</f>
        <v>3</v>
      </c>
      <c r="AT106" s="1162">
        <f>IF(1*ISERROR(VLOOKUP(Z106,I56:Y65,17,FALSE)-10)=1,0,VLOOKUP(Z106,I56:Y65,17,FALSE)-10)</f>
        <v>4</v>
      </c>
      <c r="AU106" s="1162">
        <f>IF(1*ISERROR(VLOOKUP(Z106,K56:Y65,15,FALSE)-10)=1,0,VLOOKUP(Z106,K56:Y65,15,FALSE)-10)</f>
        <v>4</v>
      </c>
      <c r="AV106" s="1162">
        <f>IF(1*ISERROR(VLOOKUP(Z106,M56:Y65,13,FALSE)-10)=1,0,VLOOKUP(Z106,M56:Y65,13,FALSE)-10)</f>
        <v>4</v>
      </c>
      <c r="AW106" s="1162">
        <f>IF(1*ISERROR(VLOOKUP(Z106,O56:Y65,11,FALSE)-10)=1,0,VLOOKUP(Z106,O56:Y65,11,FALSE)-10)</f>
        <v>6</v>
      </c>
      <c r="AX106" s="1162">
        <f>IF(1*ISERROR(VLOOKUP(Z106,Q56:Y65,9,FALSE)-10)=1,0,VLOOKUP(Z106,Q56:Y65,9,FALSE)-10)</f>
        <v>6</v>
      </c>
      <c r="AY106" s="1162">
        <f>IF(1*ISERROR(VLOOKUP(Z106,S56:Y65,7,FALSE)-10)=1,0,VLOOKUP(Z106,S56:Y65,7,FALSE)-10)</f>
        <v>6</v>
      </c>
      <c r="AZ106" s="1163">
        <f>IF(1*ISERROR(VLOOKUP(Z106,U56:Y65,5,FALSE)-10)=1,0,VLOOKUP(Z106,U56:Y65,5,FALSE)-10)</f>
        <v>7</v>
      </c>
      <c r="BA106" s="1162">
        <f t="shared" si="10"/>
        <v>45</v>
      </c>
      <c r="BB106" s="1162">
        <f>IF(BA106=0,35,_xlfn.RANK.EQ(BA106,BA98:BA132))</f>
        <v>6</v>
      </c>
      <c r="BC106" s="1162">
        <f>IF(BB106=35,35,BB106+COUNTIF(BB$98:BB105,BB106)/COUNTIF(BB$98:BB$132,BB106))</f>
        <v>6</v>
      </c>
      <c r="BD106" s="1162">
        <f t="shared" si="11"/>
        <v>6</v>
      </c>
      <c r="BE106" s="1162" t="s">
        <v>388</v>
      </c>
      <c r="BF106" s="1162">
        <f>IF(1*ISERROR(VLOOKUP(Z106,C66:Y75,23,FALSE)-20)=1,0,VLOOKUP(Z106,C66:Y75,23,FALSE)-20)</f>
        <v>10</v>
      </c>
      <c r="BG106" s="1162">
        <f>IF(1*ISERROR(VLOOKUP(Z106,E66:Y75,21,FALSE)-20)=1,0,VLOOKUP(Z106,E66:Y75,21,FALSE)-20)</f>
        <v>0</v>
      </c>
      <c r="BH106" s="1162">
        <f>IF(1*ISERROR(VLOOKUP(Z106,G66:Y75,19,FALSE)-20)=1,0,VLOOKUP(Z106,G66:Y75,19,FALSE)-20)</f>
        <v>0</v>
      </c>
      <c r="BI106" s="1162">
        <f>IF(1*ISERROR(VLOOKUP(Z106,I66:Y75,17,FALSE)-20)=1,0,VLOOKUP(Z106,I66:Y75,17,FALSE)-20)</f>
        <v>0</v>
      </c>
      <c r="BJ106" s="1162">
        <f>IF(1*ISERROR(VLOOKUP(Z106,K66:Y75,15,FALSE)-20)=1,0,VLOOKUP(Z106,K66:Y75,15,FALSE)-20)</f>
        <v>0</v>
      </c>
      <c r="BK106" s="1162">
        <f>IF(1*ISERROR(VLOOKUP(Z106,M66:Y75,13,FALSE)-20)=1,0,VLOOKUP(Z106,M66:Y75,13,FALSE)-20)</f>
        <v>0</v>
      </c>
      <c r="BL106" s="1162">
        <f>IF(1*ISERROR(VLOOKUP(Z106,O66:Y75,11,FALSE)-20)=1,0,VLOOKUP(Z106,O66:Y75,11,FALSE)-20)</f>
        <v>0</v>
      </c>
      <c r="BM106" s="1162">
        <f>IF(1*ISERROR(VLOOKUP(Z106,Q66:Y75,9,FALSE)-20)=1,0,VLOOKUP(Z106,Q66:Y75,9,FALSE)-20)</f>
        <v>0</v>
      </c>
      <c r="BN106" s="1162">
        <f>IF(1*ISERROR(VLOOKUP(Z106,S66:Y75,7,FALSE)-20)=1,0,VLOOKUP(Z106,S66:Y75,7,FALSE)-20)</f>
        <v>0</v>
      </c>
      <c r="BO106" s="1162">
        <f>IF(1*ISERROR(VLOOKUP(Z106,U66:Y75,5,FALSE)-20)=1,0,VLOOKUP(Z106,U66:Y75,5,FALSE)-20)</f>
        <v>0</v>
      </c>
      <c r="BP106" s="1162">
        <f t="shared" ref="BP106:BP131" si="20">IF(1*ISERROR(VLOOKUP(Z106,U69:Z78,5,FALSE)-20)=1,0,VLOOKUP(Z106,U69:Z78,5,FALSE)-20)</f>
        <v>0</v>
      </c>
      <c r="BQ106" s="1162">
        <f t="shared" si="12"/>
        <v>10</v>
      </c>
      <c r="BR106" s="1162">
        <f>IF(BQ106=0,35,_xlfn.RANK.EQ(BQ106,BQ98:BQ132))</f>
        <v>12</v>
      </c>
      <c r="BS106" s="1162">
        <f>IF(BR106=35,35,BR106+COUNTIF(BR$98:BR105,BR106)/COUNTIF(BR$98:BR$132,BR106))</f>
        <v>12</v>
      </c>
      <c r="BT106" s="1162">
        <f t="shared" si="13"/>
        <v>12</v>
      </c>
      <c r="BU106" s="1162" t="s">
        <v>388</v>
      </c>
      <c r="BV106" s="1162">
        <f>IF(1*ISERROR(VLOOKUP(Z106,C76:Y85,23,FALSE)-30)=1,0,VLOOKUP(Z106,C76:Y85,23,FALSE)-30)</f>
        <v>0</v>
      </c>
      <c r="BW106" s="1162">
        <f>IF(1*ISERROR(VLOOKUP(Z106,E76:Y85,21,FALSE)-30)=1,0,VLOOKUP(Z106,E76:Y85,21,FALSE)-30)</f>
        <v>0</v>
      </c>
      <c r="BX106" s="1162">
        <f>IF(1*ISERROR(VLOOKUP(Z106,G76:Y85,19,FALSE)-30)=1,0,VLOOKUP(Z106,G76:Y85,19,FALSE)-30)</f>
        <v>0</v>
      </c>
      <c r="BY106" s="1162">
        <f>IF(1*ISERROR(VLOOKUP(Z106,I76:Y85,17,FALSE)-30)=1,0,VLOOKUP(Z106,I76:Y85,17,FALSE)-30)</f>
        <v>0</v>
      </c>
      <c r="BZ106" s="1162">
        <f>IF(1*ISERROR(VLOOKUP(Z106,K76:Y85,15,FALSE)-30)=1,0,VLOOKUP(Z106,K76:Y85,15,FALSE)-30)</f>
        <v>0</v>
      </c>
      <c r="CA106" s="1162">
        <f>IF(1*ISERROR(VLOOKUP(Z106,M76:Y85,13,FALSE)-30)=1,0,VLOOKUP(Z106,M76:Y85,13,FALSE)-30)</f>
        <v>0</v>
      </c>
      <c r="CB106" s="1162">
        <f>IF(1*ISERROR(VLOOKUP(Z106,O76:Y85,11,FALSE)-30)=1,0,VLOOKUP(Z106,O76:Y85,11,FALSE)-30)</f>
        <v>0</v>
      </c>
      <c r="CC106" s="1162">
        <f>IF(1*ISERROR(VLOOKUP(Z106,Q76:Y85,9,FALSE)-30)=1,0,VLOOKUP(Z106,Q76:Y85,9,FALSE)-30)</f>
        <v>0</v>
      </c>
      <c r="CD106" s="1162">
        <f>IF(1*ISERROR(VLOOKUP(Z106,S76:Y85,7,FALSE)-30)=1,0,VLOOKUP(Z106,S76:Y85,7,FALSE)-30)</f>
        <v>0</v>
      </c>
      <c r="CE106" s="1162">
        <f>IF(1*ISERROR(VLOOKUP(Z106,U76:Y85,5,FALSE)-30)=1,0,VLOOKUP(Z106,U76:Y85,5,FALSE)-30)</f>
        <v>0</v>
      </c>
      <c r="CF106" s="1163">
        <f>IF(1*ISERROR(VLOOKUP(Z106,U81:Z90,5,FALSE)-30)=1,0,VLOOKUP(Z106,U81:Z90,5,FALSE)-30)</f>
        <v>0</v>
      </c>
      <c r="CG106" s="1162">
        <f t="shared" si="14"/>
        <v>0</v>
      </c>
      <c r="CH106" s="1162">
        <f t="shared" si="15"/>
        <v>35</v>
      </c>
      <c r="CI106" s="1162">
        <f>IF(CH106=35,35,CH106+COUNTIF(CH$98:CH105,CH106)/COUNTIF(CH$98:CH$132,CH106))</f>
        <v>35</v>
      </c>
      <c r="CJ106" s="1162">
        <f t="shared" si="16"/>
        <v>20</v>
      </c>
      <c r="CK106" s="1162" t="s">
        <v>388</v>
      </c>
      <c r="CL106" s="1162">
        <f>IF(1*ISERROR(VLOOKUP(Z106,C86:Y95,23,FALSE)-40)=1,0,VLOOKUP(Z106,C86:Y95,23,FALSE)-40)</f>
        <v>0</v>
      </c>
      <c r="CM106" s="1162">
        <f>IF(1*ISERROR(VLOOKUP(Z106,E86:Y95,21,FALSE)-40)=1,0,VLOOKUP(Z106,E86:Y95,21,FALSE)-40)</f>
        <v>0</v>
      </c>
      <c r="CN106" s="1162">
        <f>IF(1*ISERROR(VLOOKUP(Z106,G86:Y95,19,FALSE)-40)=1,0,VLOOKUP(Z106,G86:Y95,19,FALSE)-40)</f>
        <v>0</v>
      </c>
      <c r="CO106" s="1162">
        <f>IF(1*ISERROR(VLOOKUP(Z106,I86:Y95,17,FALSE)-40)=1,0,VLOOKUP(Z106,I86:Y95,17,FALSE)-40)</f>
        <v>0</v>
      </c>
      <c r="CP106" s="1162">
        <f>IF(1*ISERROR(VLOOKUP(Z106,K86:Y95,15,FALSE)-40)=1,0,VLOOKUP(Z106,K86:Y95,15,FALSE)-40)</f>
        <v>10</v>
      </c>
      <c r="CQ106" s="1162">
        <f>IF(1*ISERROR(VLOOKUP(Z106,M86:Y95,13,FALSE)-40)=1,0,VLOOKUP(Z106,M86:Y95,13,FALSE)-40)</f>
        <v>10</v>
      </c>
      <c r="CR106" s="1162">
        <f>IF(1*ISERROR(VLOOKUP(Z106,O86:Y95,11,FALSE)-40)=1,0,VLOOKUP(Z106,O86:Y95,11,FALSE)-40)</f>
        <v>10</v>
      </c>
      <c r="CS106" s="1162">
        <f>IF(1*ISERROR(VLOOKUP(Z106,Q86:Y95,9,FALSE)-40)=1,0,VLOOKUP(Z106,Q86:Y95,9,FALSE)-40)</f>
        <v>10</v>
      </c>
      <c r="CT106" s="1162">
        <f>IF(1*ISERROR(VLOOKUP(Z106,S86:Y95,7,FALSE)-40)=1,0,VLOOKUP(Z106,S86:Y95,7,FALSE)-40)</f>
        <v>10</v>
      </c>
      <c r="CU106" s="1162">
        <f>IF(1*ISERROR(VLOOKUP(Z106,U86:Y95,5,FALSE)-40)=1,0,VLOOKUP(Z106,U86:Y95,5,FALSE)-40)</f>
        <v>0</v>
      </c>
      <c r="CV106" s="1162">
        <v>0</v>
      </c>
      <c r="CW106" s="1162">
        <f t="shared" si="17"/>
        <v>50</v>
      </c>
      <c r="CX106" s="1162">
        <f>IF(CW106=0,35,_xlfn.RANK.EQ(CW106,CW98:CW132))</f>
        <v>7</v>
      </c>
      <c r="CY106" s="1162">
        <f>IF(CX106=35,35,CX106+COUNTIF(CX$98:CX105,CX106)/COUNTIF(CX$98:CX$132,CX106))</f>
        <v>7</v>
      </c>
      <c r="CZ106" s="1162">
        <f t="shared" si="18"/>
        <v>7</v>
      </c>
      <c r="DA106" s="1162" t="s">
        <v>388</v>
      </c>
      <c r="DB106" s="834"/>
      <c r="DC106" s="834"/>
      <c r="DD106" s="839"/>
      <c r="DE106" s="1098"/>
      <c r="DF106" s="1098"/>
      <c r="DG106" s="1098"/>
      <c r="DH106" s="1098"/>
      <c r="DI106" s="1098"/>
      <c r="DJ106" s="1098"/>
      <c r="DK106" s="1098"/>
      <c r="DL106" s="1098"/>
      <c r="DM106" s="1098"/>
      <c r="DN106" s="1098"/>
      <c r="DO106" s="1098"/>
    </row>
    <row r="107" spans="1:119" s="1086" customFormat="1">
      <c r="Y107" s="1113">
        <f t="shared" si="7"/>
        <v>10</v>
      </c>
      <c r="Z107" s="1162" t="s">
        <v>382</v>
      </c>
      <c r="AA107" s="1162">
        <f>IF(1*ISERROR(VLOOKUP(Z107,C46:Y55,23,FALSE))=1,0,VLOOKUP(Z107,C46:Y55,23,FALSE))</f>
        <v>6</v>
      </c>
      <c r="AB107" s="1162">
        <f>IF(1*ISERROR(VLOOKUP(Z107,E46:Y55,21,FALSE))=1,0,VLOOKUP(Z107,E46:Y55,21,FALSE))</f>
        <v>6</v>
      </c>
      <c r="AC107" s="1162">
        <f>IF(1*ISERROR(VLOOKUP(Z107,G46:Y55,19,FALSE))=1,0,VLOOKUP(Z107,G46:Y55,19,FALSE))</f>
        <v>6</v>
      </c>
      <c r="AD107" s="1162">
        <f>IF(1*ISERROR(VLOOKUP(Z107,I46:Y55,17,FALSE))=1,0,VLOOKUP(Z107,I46:Y55,17,FALSE))</f>
        <v>6</v>
      </c>
      <c r="AE107" s="1162">
        <f>IF(1*ISERROR(VLOOKUP(Z107,K46:Y55,15,FALSE))=1,0,VLOOKUP(Z107,K46:Y55,15,FALSE))</f>
        <v>6</v>
      </c>
      <c r="AF107" s="1162">
        <f>IF(1*ISERROR(VLOOKUP(Z107,M46:Y55,13,FALSE))=1,0,VLOOKUP(Z107,M46:Y55,13,FALSE))</f>
        <v>6</v>
      </c>
      <c r="AG107" s="1162">
        <f>IF(1*ISERROR(VLOOKUP(Z107,O46:Y55,11,FALSE))=1,0,VLOOKUP(Z107,O46:Y55,11,FALSE))</f>
        <v>6</v>
      </c>
      <c r="AH107" s="1162">
        <f>IF(1*ISERROR(VLOOKUP(Z107,Q46:Y55,9,FALSE))=1,0,VLOOKUP(Z107,Q46:Y55,9,FALSE))</f>
        <v>6</v>
      </c>
      <c r="AI107" s="1162">
        <f>IF(1*ISERROR(VLOOKUP(Z107,S46:Y55,7,FALSE))=1,0,VLOOKUP(Z107,S46:Y55,7,FALSE))</f>
        <v>6</v>
      </c>
      <c r="AJ107" s="1162">
        <f>IF(1*ISERROR(VLOOKUP(Z107,U46:Y55,5,FALSE))=1,0,VLOOKUP(Z107,U46:Y55,5,FALSE))</f>
        <v>6</v>
      </c>
      <c r="AK107" s="1162">
        <f>IF(1*ISERROR(VLOOKUP(Z107,U46:Z59,5,FALSE))=1,0,VLOOKUP(Z107,U46:Z59,5,FALSE))</f>
        <v>6</v>
      </c>
      <c r="AL107" s="1162">
        <f t="shared" si="8"/>
        <v>66</v>
      </c>
      <c r="AM107" s="1162">
        <f>IF(AL107=0,35,_xlfn.RANK.EQ(AL107,AL98:AL132))</f>
        <v>4</v>
      </c>
      <c r="AN107" s="1162">
        <f>IF(AM107=35,35,AM107+COUNTIF(AM$98:AM106,AM107)/COUNTIF(AM$98:AM$132,AM107))</f>
        <v>4</v>
      </c>
      <c r="AO107" s="1162">
        <f t="shared" si="9"/>
        <v>4</v>
      </c>
      <c r="AP107" s="1162" t="s">
        <v>382</v>
      </c>
      <c r="AQ107" s="1162">
        <f>IF(1*ISERROR(VLOOKUP(Z107,C56:Y65,23,FALSE)-10)=1,0,VLOOKUP(Z107,C56:Y65,23,FALSE)-10)</f>
        <v>6</v>
      </c>
      <c r="AR107" s="1162">
        <f>IF(1*ISERROR(VLOOKUP(Z107,E56:Y65,21,FALSE)-10)=1,0,VLOOKUP(Z107,E56:Y65,21,FALSE)-10)</f>
        <v>6</v>
      </c>
      <c r="AS107" s="1162">
        <f>IF(1*ISERROR(VLOOKUP(Z107,G56:Y65,19,FALSE)-10)=1,0,VLOOKUP(Z107,G56:Y65,19,FALSE)-10)</f>
        <v>6</v>
      </c>
      <c r="AT107" s="1162">
        <f>IF(1*ISERROR(VLOOKUP(Z107,I56:Y65,17,FALSE)-10)=1,0,VLOOKUP(Z107,I56:Y65,17,FALSE)-10)</f>
        <v>5</v>
      </c>
      <c r="AU107" s="1162">
        <f>IF(1*ISERROR(VLOOKUP(Z107,K56:Y65,15,FALSE)-10)=1,0,VLOOKUP(Z107,K56:Y65,15,FALSE)-10)</f>
        <v>6</v>
      </c>
      <c r="AV107" s="1162">
        <f>IF(1*ISERROR(VLOOKUP(Z107,M56:Y65,13,FALSE)-10)=1,0,VLOOKUP(Z107,M56:Y65,13,FALSE)-10)</f>
        <v>6</v>
      </c>
      <c r="AW107" s="1162">
        <f>IF(1*ISERROR(VLOOKUP(Z107,O56:Y65,11,FALSE)-10)=1,0,VLOOKUP(Z107,O56:Y65,11,FALSE)-10)</f>
        <v>4</v>
      </c>
      <c r="AX107" s="1162">
        <f>IF(1*ISERROR(VLOOKUP(Z107,Q56:Y65,9,FALSE)-10)=1,0,VLOOKUP(Z107,Q56:Y65,9,FALSE)-10)</f>
        <v>4</v>
      </c>
      <c r="AY107" s="1162">
        <f>IF(1*ISERROR(VLOOKUP(Z107,S56:Y65,7,FALSE)-10)=1,0,VLOOKUP(Z107,S56:Y65,7,FALSE)-10)</f>
        <v>5</v>
      </c>
      <c r="AZ107" s="1163">
        <f>IF(1*ISERROR(VLOOKUP(Z107,U56:Y65,5,FALSE)-10)=1,0,VLOOKUP(Z107,U56:Y65,5,FALSE)-10)</f>
        <v>5</v>
      </c>
      <c r="BA107" s="1162">
        <f t="shared" si="10"/>
        <v>53</v>
      </c>
      <c r="BB107" s="1162">
        <f>IF(BA107=0,35,_xlfn.RANK.EQ(BA107,BA98:BA132))</f>
        <v>5</v>
      </c>
      <c r="BC107" s="1162">
        <f>IF(BB107=35,35,BB107+COUNTIF(BB$98:BB106,BB107)/COUNTIF(BB$98:BB$132,BB107))</f>
        <v>5</v>
      </c>
      <c r="BD107" s="1162">
        <f t="shared" si="11"/>
        <v>5</v>
      </c>
      <c r="BE107" s="1162" t="s">
        <v>382</v>
      </c>
      <c r="BF107" s="1162">
        <f>IF(1*ISERROR(VLOOKUP(Z107,C66:Y75,23,FALSE)-20)=1,0,VLOOKUP(Z107,C66:Y75,23,FALSE)-20)</f>
        <v>9</v>
      </c>
      <c r="BG107" s="1162">
        <f>IF(1*ISERROR(VLOOKUP(Z107,E66:Y75,21,FALSE)-20)=1,0,VLOOKUP(Z107,E66:Y75,21,FALSE)-20)</f>
        <v>7</v>
      </c>
      <c r="BH107" s="1162">
        <f>IF(1*ISERROR(VLOOKUP(Z107,G66:Y75,19,FALSE)-20)=1,0,VLOOKUP(Z107,G66:Y75,19,FALSE)-20)</f>
        <v>7</v>
      </c>
      <c r="BI107" s="1162">
        <f>IF(1*ISERROR(VLOOKUP(Z107,I66:Y75,17,FALSE)-20)=1,0,VLOOKUP(Z107,I66:Y75,17,FALSE)-20)</f>
        <v>8</v>
      </c>
      <c r="BJ107" s="1162">
        <f>IF(1*ISERROR(VLOOKUP(Z107,K66:Y75,15,FALSE)-20)=1,0,VLOOKUP(Z107,K66:Y75,15,FALSE)-20)</f>
        <v>8</v>
      </c>
      <c r="BK107" s="1162">
        <f>IF(1*ISERROR(VLOOKUP(Z107,M66:Y75,13,FALSE)-20)=1,0,VLOOKUP(Z107,M66:Y75,13,FALSE)-20)</f>
        <v>10</v>
      </c>
      <c r="BL107" s="1162">
        <f>IF(1*ISERROR(VLOOKUP(Z107,O66:Y75,11,FALSE)-20)=1,0,VLOOKUP(Z107,O66:Y75,11,FALSE)-20)</f>
        <v>10</v>
      </c>
      <c r="BM107" s="1162">
        <f>IF(1*ISERROR(VLOOKUP(Z107,Q66:Y75,9,FALSE)-20)=1,0,VLOOKUP(Z107,Q66:Y75,9,FALSE)-20)</f>
        <v>10</v>
      </c>
      <c r="BN107" s="1162">
        <f>IF(1*ISERROR(VLOOKUP(Z107,S66:Y75,7,FALSE)-20)=1,0,VLOOKUP(Z107,S66:Y75,7,FALSE)-20)</f>
        <v>10</v>
      </c>
      <c r="BO107" s="1162">
        <f>IF(1*ISERROR(VLOOKUP(Z107,U66:Y75,5,FALSE)-20)=1,0,VLOOKUP(Z107,U66:Y75,5,FALSE)-20)</f>
        <v>7</v>
      </c>
      <c r="BP107" s="1162">
        <v>8</v>
      </c>
      <c r="BQ107" s="1162">
        <f t="shared" si="12"/>
        <v>94</v>
      </c>
      <c r="BR107" s="1162">
        <f>IF(BQ107=0,35,_xlfn.RANK.EQ(BQ107,BQ98:BQ132))</f>
        <v>1</v>
      </c>
      <c r="BS107" s="1162">
        <f>IF(BR107=35,35,BR107+COUNTIF(BR$98:BR106,BR107)/COUNTIF(BR$98:BR$132,BR107))</f>
        <v>1</v>
      </c>
      <c r="BT107" s="1162">
        <f t="shared" si="13"/>
        <v>1</v>
      </c>
      <c r="BU107" s="1162" t="s">
        <v>382</v>
      </c>
      <c r="BV107" s="1162">
        <f>IF(1*ISERROR(VLOOKUP(Z107,C76:Y85,23,FALSE)-30)=1,0,VLOOKUP(Z107,C76:Y85,23,FALSE)-30)</f>
        <v>2</v>
      </c>
      <c r="BW107" s="1162">
        <f>IF(1*ISERROR(VLOOKUP(Z107,E76:Y85,21,FALSE)-30)=1,0,VLOOKUP(Z107,E76:Y85,21,FALSE)-30)</f>
        <v>3</v>
      </c>
      <c r="BX107" s="1162">
        <f>IF(1*ISERROR(VLOOKUP(Z107,G76:Y85,19,FALSE)-30)=1,0,VLOOKUP(Z107,G76:Y85,19,FALSE)-30)</f>
        <v>3</v>
      </c>
      <c r="BY107" s="1162">
        <f>IF(1*ISERROR(VLOOKUP(Z107,I76:Y85,17,FALSE)-30)=1,0,VLOOKUP(Z107,I76:Y85,17,FALSE)-30)</f>
        <v>3</v>
      </c>
      <c r="BZ107" s="1162">
        <f>IF(1*ISERROR(VLOOKUP(Z107,K76:Y85,15,FALSE)-30)=1,0,VLOOKUP(Z107,K76:Y85,15,FALSE)-30)</f>
        <v>3</v>
      </c>
      <c r="CA107" s="1162">
        <f>IF(1*ISERROR(VLOOKUP(Z107,M76:Y85,13,FALSE)-30)=1,0,VLOOKUP(Z107,M76:Y85,13,FALSE)-30)</f>
        <v>3</v>
      </c>
      <c r="CB107" s="1162">
        <f>IF(1*ISERROR(VLOOKUP(Z107,O76:Y85,11,FALSE)-30)=1,0,VLOOKUP(Z107,O76:Y85,11,FALSE)-30)</f>
        <v>3</v>
      </c>
      <c r="CC107" s="1162">
        <f>IF(1*ISERROR(VLOOKUP(Z107,Q76:Y85,9,FALSE)-30)=1,0,VLOOKUP(Z107,Q76:Y85,9,FALSE)-30)</f>
        <v>2</v>
      </c>
      <c r="CD107" s="1162">
        <f>IF(1*ISERROR(VLOOKUP(Z107,S76:Y85,7,FALSE)-30)=1,0,VLOOKUP(Z107,S76:Y85,7,FALSE)-30)</f>
        <v>2</v>
      </c>
      <c r="CE107" s="1162">
        <f>IF(1*ISERROR(VLOOKUP(Z107,U76:Y85,5,FALSE)-30)=1,0,VLOOKUP(Z107,U76:Y85,5,FALSE)-30)</f>
        <v>8</v>
      </c>
      <c r="CF107" s="1163">
        <v>2</v>
      </c>
      <c r="CG107" s="1162">
        <f t="shared" si="14"/>
        <v>32</v>
      </c>
      <c r="CH107" s="1162">
        <f t="shared" si="15"/>
        <v>8</v>
      </c>
      <c r="CI107" s="1162">
        <f>IF(CH107=35,35,CH107+COUNTIF(CH$98:CH106,CH107)/COUNTIF(CH$98:CH$132,CH107))</f>
        <v>8</v>
      </c>
      <c r="CJ107" s="1162">
        <f t="shared" si="16"/>
        <v>8</v>
      </c>
      <c r="CK107" s="1162" t="s">
        <v>382</v>
      </c>
      <c r="CL107" s="1162">
        <f>IF(1*ISERROR(VLOOKUP(Z107,C86:Y95,23,FALSE)-40)=1,0,VLOOKUP(Z107,C86:Y95,23,FALSE)-40)</f>
        <v>10</v>
      </c>
      <c r="CM107" s="1162">
        <f>IF(1*ISERROR(VLOOKUP(Z107,E86:Y95,21,FALSE)-40)=1,0,VLOOKUP(Z107,E86:Y95,21,FALSE)-40)</f>
        <v>8</v>
      </c>
      <c r="CN107" s="1162">
        <f>IF(1*ISERROR(VLOOKUP(Z107,G86:Y95,19,FALSE)-40)=1,0,VLOOKUP(Z107,G86:Y95,19,FALSE)-40)</f>
        <v>7</v>
      </c>
      <c r="CO107" s="1162">
        <f>IF(1*ISERROR(VLOOKUP(Z107,I86:Y95,17,FALSE)-40)=1,0,VLOOKUP(Z107,I86:Y95,17,FALSE)-40)</f>
        <v>8</v>
      </c>
      <c r="CP107" s="1162">
        <f>IF(1*ISERROR(VLOOKUP(Z107,K86:Y95,15,FALSE)-40)=1,0,VLOOKUP(Z107,K86:Y95,15,FALSE)-40)</f>
        <v>8</v>
      </c>
      <c r="CQ107" s="1162">
        <f>IF(1*ISERROR(VLOOKUP(Z107,M86:Y95,13,FALSE)-40)=1,0,VLOOKUP(Z107,M86:Y95,13,FALSE)-40)</f>
        <v>8</v>
      </c>
      <c r="CR107" s="1162">
        <f>IF(1*ISERROR(VLOOKUP(Z107,O86:Y95,11,FALSE)-40)=1,0,VLOOKUP(Z107,O86:Y95,11,FALSE)-40)</f>
        <v>8</v>
      </c>
      <c r="CS107" s="1162">
        <f>IF(1*ISERROR(VLOOKUP(Z107,Q86:Y95,9,FALSE)-40)=1,0,VLOOKUP(Z107,Q86:Y95,9,FALSE)-40)</f>
        <v>8</v>
      </c>
      <c r="CT107" s="1162">
        <f>IF(1*ISERROR(VLOOKUP(Z107,S86:Y95,7,FALSE)-40)=1,0,VLOOKUP(Z107,S86:Y95,7,FALSE)-40)</f>
        <v>9</v>
      </c>
      <c r="CU107" s="1162">
        <f>IF(1*ISERROR(VLOOKUP(Z107,U86:Y95,5,FALSE)-40)=1,0,VLOOKUP(Z107,U86:Y95,5,FALSE)-40)</f>
        <v>9</v>
      </c>
      <c r="CV107" s="1162">
        <v>7</v>
      </c>
      <c r="CW107" s="1162">
        <f t="shared" si="17"/>
        <v>90</v>
      </c>
      <c r="CX107" s="1162">
        <v>2</v>
      </c>
      <c r="CY107" s="1162">
        <f>IF(CX107=35,35,CX107+COUNTIF(CX$98:CX106,CX107)/COUNTIF(CX$98:CX$132,CX107))</f>
        <v>2</v>
      </c>
      <c r="CZ107" s="1162">
        <f t="shared" si="18"/>
        <v>2</v>
      </c>
      <c r="DA107" s="1162" t="s">
        <v>382</v>
      </c>
      <c r="DB107" s="834"/>
      <c r="DC107" s="834"/>
      <c r="DD107" s="839"/>
      <c r="DE107" s="1098"/>
      <c r="DF107" s="1098"/>
      <c r="DG107" s="1098"/>
      <c r="DH107" s="1098"/>
      <c r="DI107" s="1098"/>
      <c r="DJ107" s="1098"/>
      <c r="DK107" s="1098"/>
      <c r="DL107" s="1098"/>
      <c r="DM107" s="1098"/>
      <c r="DN107" s="1098"/>
      <c r="DO107" s="1098"/>
    </row>
    <row r="108" spans="1:119" s="1086" customFormat="1">
      <c r="Y108" s="1113">
        <f t="shared" si="7"/>
        <v>11</v>
      </c>
      <c r="Z108" s="1162" t="s">
        <v>408</v>
      </c>
      <c r="AA108" s="1162">
        <f>IF(1*ISERROR(VLOOKUP(Z108,C46:Y55,23,FALSE))=1,0,VLOOKUP(Z108,C46:Y55,23,FALSE))</f>
        <v>0</v>
      </c>
      <c r="AB108" s="1162">
        <f>IF(1*ISERROR(VLOOKUP(Z108,E46:Y55,21,FALSE))=1,0,VLOOKUP(Z108,E46:Y55,21,FALSE))</f>
        <v>0</v>
      </c>
      <c r="AC108" s="1162">
        <f>IF(1*ISERROR(VLOOKUP(Z108,G46:Y55,19,FALSE))=1,0,VLOOKUP(Z108,G46:Y55,19,FALSE))</f>
        <v>0</v>
      </c>
      <c r="AD108" s="1162">
        <f>IF(1*ISERROR(VLOOKUP(Z108,I46:Y55,17,FALSE))=1,0,VLOOKUP(Z108,I46:Y55,17,FALSE))</f>
        <v>0</v>
      </c>
      <c r="AE108" s="1162">
        <f>IF(1*ISERROR(VLOOKUP(Z108,K46:Y55,15,FALSE))=1,0,VLOOKUP(Z108,K46:Y55,15,FALSE))</f>
        <v>0</v>
      </c>
      <c r="AF108" s="1162">
        <f>IF(1*ISERROR(VLOOKUP(Z108,M46:Y55,13,FALSE))=1,0,VLOOKUP(Z108,M46:Y55,13,FALSE))</f>
        <v>0</v>
      </c>
      <c r="AG108" s="1162">
        <f>IF(1*ISERROR(VLOOKUP(Z108,O46:Y55,11,FALSE))=1,0,VLOOKUP(Z108,O46:Y55,11,FALSE))</f>
        <v>0</v>
      </c>
      <c r="AH108" s="1162">
        <f>IF(1*ISERROR(VLOOKUP(Z108,Q46:Y55,9,FALSE))=1,0,VLOOKUP(Z108,Q46:Y55,9,FALSE))</f>
        <v>0</v>
      </c>
      <c r="AI108" s="1162">
        <f>IF(1*ISERROR(VLOOKUP(Z108,S46:Y55,7,FALSE))=1,0,VLOOKUP(Z108,S46:Y55,7,FALSE))</f>
        <v>0</v>
      </c>
      <c r="AJ108" s="1162">
        <f>IF(1*ISERROR(VLOOKUP(Z108,U46:Y55,5,FALSE))=1,0,VLOOKUP(Z108,U46:Y55,5,FALSE))</f>
        <v>0</v>
      </c>
      <c r="AK108" s="1162">
        <f>IF(1*ISERROR(VLOOKUP(Z108,U47:Z56,5,FALSE))=1,0,VLOOKUP(Z108,U47:Z56,5,FALSE))</f>
        <v>0</v>
      </c>
      <c r="AL108" s="1162">
        <f t="shared" si="8"/>
        <v>0</v>
      </c>
      <c r="AM108" s="1162">
        <f>IF(AL108=0,35,_xlfn.RANK.EQ(AL108,AL98:AL132))</f>
        <v>35</v>
      </c>
      <c r="AN108" s="1162">
        <f>IF(AM108=35,35,AM108+COUNTIF(AM$98:AM107,AM108)/COUNTIF(AM$98:AM$132,AM108))</f>
        <v>35</v>
      </c>
      <c r="AO108" s="1162">
        <f t="shared" si="9"/>
        <v>13</v>
      </c>
      <c r="AP108" s="1162" t="s">
        <v>408</v>
      </c>
      <c r="AQ108" s="1162">
        <f>IF(1*ISERROR(VLOOKUP(Z108,C56:Y65,23,FALSE)-10)=1,0,VLOOKUP(Z108,C56:Y65,23,FALSE)-10)</f>
        <v>0</v>
      </c>
      <c r="AR108" s="1162">
        <f>IF(1*ISERROR(VLOOKUP(Z108,E56:Y65,21,FALSE)-10)=1,0,VLOOKUP(Z108,E56:Y65,21,FALSE)-10)</f>
        <v>0</v>
      </c>
      <c r="AS108" s="1162">
        <f>IF(1*ISERROR(VLOOKUP(Z108,G56:Y65,19,FALSE)-10)=1,0,VLOOKUP(Z108,G56:Y65,19,FALSE)-10)</f>
        <v>0</v>
      </c>
      <c r="AT108" s="1162">
        <f>IF(1*ISERROR(VLOOKUP(Z108,I56:Y65,17,FALSE)-10)=1,0,VLOOKUP(Z108,I56:Y65,17,FALSE)-10)</f>
        <v>0</v>
      </c>
      <c r="AU108" s="1162">
        <f>IF(1*ISERROR(VLOOKUP(Z108,K56:Y65,15,FALSE)-10)=1,0,VLOOKUP(Z108,K56:Y65,15,FALSE)-10)</f>
        <v>0</v>
      </c>
      <c r="AV108" s="1162">
        <f>IF(1*ISERROR(VLOOKUP(Z108,M56:Y65,13,FALSE)-10)=1,0,VLOOKUP(Z108,M56:Y65,13,FALSE)-10)</f>
        <v>0</v>
      </c>
      <c r="AW108" s="1162">
        <f>IF(1*ISERROR(VLOOKUP(Z108,O56:Y65,11,FALSE)-10)=1,0,VLOOKUP(Z108,O56:Y65,11,FALSE)-10)</f>
        <v>0</v>
      </c>
      <c r="AX108" s="1162">
        <f>IF(1*ISERROR(VLOOKUP(Z108,Q56:Y65,9,FALSE)-10)=1,0,VLOOKUP(Z108,Q56:Y65,9,FALSE)-10)</f>
        <v>0</v>
      </c>
      <c r="AY108" s="1162">
        <f>IF(1*ISERROR(VLOOKUP(Z108,S56:Y65,7,FALSE)-10)=1,0,VLOOKUP(Z108,S56:Y65,7,FALSE)-10)</f>
        <v>0</v>
      </c>
      <c r="AZ108" s="1163">
        <f>IF(1*ISERROR(VLOOKUP(Z108,U56:Y65,5,FALSE)-10)=1,0,VLOOKUP(Z108,U56:Y65,5,FALSE)-10)</f>
        <v>0</v>
      </c>
      <c r="BA108" s="1162">
        <f t="shared" si="10"/>
        <v>0</v>
      </c>
      <c r="BB108" s="1162">
        <f>IF(BA108=0,35,_xlfn.RANK.EQ(BA108,BA98:BA132))</f>
        <v>35</v>
      </c>
      <c r="BC108" s="1162">
        <f>IF(BB108=35,35,BB108+COUNTIF(BB$98:BB107,BB108)/COUNTIF(BB$98:BB$132,BB108))</f>
        <v>35</v>
      </c>
      <c r="BD108" s="1162">
        <f t="shared" si="11"/>
        <v>13</v>
      </c>
      <c r="BE108" s="1162" t="s">
        <v>408</v>
      </c>
      <c r="BF108" s="1162">
        <f>IF(1*ISERROR(VLOOKUP(Z108,C66:Y75,23,FALSE)-20)=1,0,VLOOKUP(Z108,C66:Y75,23,FALSE)-20)</f>
        <v>0</v>
      </c>
      <c r="BG108" s="1162">
        <f>IF(1*ISERROR(VLOOKUP(Z108,E66:Y75,21,FALSE)-20)=1,0,VLOOKUP(Z108,E66:Y75,21,FALSE)-20)</f>
        <v>0</v>
      </c>
      <c r="BH108" s="1162">
        <f>IF(1*ISERROR(VLOOKUP(Z108,G66:Y75,19,FALSE)-20)=1,0,VLOOKUP(Z108,G66:Y75,19,FALSE)-20)</f>
        <v>0</v>
      </c>
      <c r="BI108" s="1162">
        <f>IF(1*ISERROR(VLOOKUP(Z108,I66:Y75,17,FALSE)-20)=1,0,VLOOKUP(Z108,I66:Y75,17,FALSE)-20)</f>
        <v>0</v>
      </c>
      <c r="BJ108" s="1162">
        <f>IF(1*ISERROR(VLOOKUP(Z108,K66:Y75,15,FALSE)-20)=1,0,VLOOKUP(Z108,K66:Y75,15,FALSE)-20)</f>
        <v>0</v>
      </c>
      <c r="BK108" s="1162">
        <f>IF(1*ISERROR(VLOOKUP(Z108,M66:Y75,13,FALSE)-20)=1,0,VLOOKUP(Z108,M66:Y75,13,FALSE)-20)</f>
        <v>0</v>
      </c>
      <c r="BL108" s="1162">
        <f>IF(1*ISERROR(VLOOKUP(Z108,O66:Y75,11,FALSE)-20)=1,0,VLOOKUP(Z108,O66:Y75,11,FALSE)-20)</f>
        <v>0</v>
      </c>
      <c r="BM108" s="1162">
        <f>IF(1*ISERROR(VLOOKUP(Z108,Q66:Y75,9,FALSE)-20)=1,0,VLOOKUP(Z108,Q66:Y75,9,FALSE)-20)</f>
        <v>0</v>
      </c>
      <c r="BN108" s="1162">
        <f>IF(1*ISERROR(VLOOKUP(Z108,S66:Y75,7,FALSE)-20)=1,0,VLOOKUP(Z108,S66:Y75,7,FALSE)-20)</f>
        <v>0</v>
      </c>
      <c r="BO108" s="1162">
        <f>IF(1*ISERROR(VLOOKUP(Z108,U66:Y75,5,FALSE)-20)=1,0,VLOOKUP(Z108,U66:Y75,5,FALSE)-20)</f>
        <v>0</v>
      </c>
      <c r="BP108" s="1162">
        <f t="shared" si="20"/>
        <v>0</v>
      </c>
      <c r="BQ108" s="1162">
        <f t="shared" si="12"/>
        <v>0</v>
      </c>
      <c r="BR108" s="1162">
        <f>IF(BQ108=0,35,_xlfn.RANK.EQ(BQ108,BQ98:BQ132))</f>
        <v>35</v>
      </c>
      <c r="BS108" s="1162">
        <f>IF(BR108=35,35,BR108+COUNTIF(BR$98:BR107,BR108)/COUNTIF(BR$98:BR$132,BR108))</f>
        <v>35</v>
      </c>
      <c r="BT108" s="1162">
        <f t="shared" si="13"/>
        <v>13</v>
      </c>
      <c r="BU108" s="1162" t="s">
        <v>408</v>
      </c>
      <c r="BV108" s="1162">
        <f>IF(1*ISERROR(VLOOKUP(Z108,C76:Y85,23,FALSE)-30)=1,0,VLOOKUP(Z108,C76:Y85,23,FALSE)-30)</f>
        <v>0</v>
      </c>
      <c r="BW108" s="1162">
        <f>IF(1*ISERROR(VLOOKUP(Z108,E76:Y85,21,FALSE)-30)=1,0,VLOOKUP(Z108,E76:Y85,21,FALSE)-30)</f>
        <v>0</v>
      </c>
      <c r="BX108" s="1162">
        <f>IF(1*ISERROR(VLOOKUP(Z108,G76:Y85,19,FALSE)-30)=1,0,VLOOKUP(Z108,G76:Y85,19,FALSE)-30)</f>
        <v>0</v>
      </c>
      <c r="BY108" s="1162">
        <f>IF(1*ISERROR(VLOOKUP(Z108,I76:Y85,17,FALSE)-30)=1,0,VLOOKUP(Z108,I76:Y85,17,FALSE)-30)</f>
        <v>0</v>
      </c>
      <c r="BZ108" s="1162">
        <f>IF(1*ISERROR(VLOOKUP(Z108,K76:Y85,15,FALSE)-30)=1,0,VLOOKUP(Z108,K76:Y85,15,FALSE)-30)</f>
        <v>0</v>
      </c>
      <c r="CA108" s="1162">
        <f>IF(1*ISERROR(VLOOKUP(Z108,M76:Y85,13,FALSE)-30)=1,0,VLOOKUP(Z108,M76:Y85,13,FALSE)-30)</f>
        <v>0</v>
      </c>
      <c r="CB108" s="1162">
        <f>IF(1*ISERROR(VLOOKUP(Z108,O76:Y85,11,FALSE)-30)=1,0,VLOOKUP(Z108,O76:Y85,11,FALSE)-30)</f>
        <v>0</v>
      </c>
      <c r="CC108" s="1162">
        <f>IF(1*ISERROR(VLOOKUP(Z108,Q76:Y85,9,FALSE)-30)=1,0,VLOOKUP(Z108,Q76:Y85,9,FALSE)-30)</f>
        <v>0</v>
      </c>
      <c r="CD108" s="1162">
        <f>IF(1*ISERROR(VLOOKUP(Z108,S76:Y85,7,FALSE)-30)=1,0,VLOOKUP(Z108,S76:Y85,7,FALSE)-30)</f>
        <v>0</v>
      </c>
      <c r="CE108" s="1162">
        <f>IF(1*ISERROR(VLOOKUP(Z108,U76:Y85,5,FALSE)-30)=1,0,VLOOKUP(Z108,U76:Y85,5,FALSE)-30)</f>
        <v>0</v>
      </c>
      <c r="CF108" s="1163">
        <f>IF(1*ISERROR(VLOOKUP(Z108,W76:Z85,5,FALSE)-30)=1,0,VLOOKUP(Z108,W76:Z85,5,FALSE)-30)</f>
        <v>0</v>
      </c>
      <c r="CG108" s="1162">
        <f t="shared" si="14"/>
        <v>0</v>
      </c>
      <c r="CH108" s="1162">
        <f t="shared" si="15"/>
        <v>35</v>
      </c>
      <c r="CI108" s="1162">
        <f>IF(CH108=35,35,CH108+COUNTIF(CH$98:CH107,CH108)/COUNTIF(CH$98:CH$132,CH108))</f>
        <v>35</v>
      </c>
      <c r="CJ108" s="1162">
        <f t="shared" si="16"/>
        <v>20</v>
      </c>
      <c r="CK108" s="1162" t="s">
        <v>408</v>
      </c>
      <c r="CL108" s="1162">
        <f>IF(1*ISERROR(VLOOKUP(Z108,C86:Y95,23,FALSE)-40)=1,0,VLOOKUP(Z108,C86:Y95,23,FALSE)-40)</f>
        <v>0</v>
      </c>
      <c r="CM108" s="1162">
        <f>IF(1*ISERROR(VLOOKUP(Z108,E86:Y95,21,FALSE)-40)=1,0,VLOOKUP(Z108,E86:Y95,21,FALSE)-40)</f>
        <v>0</v>
      </c>
      <c r="CN108" s="1162">
        <f>IF(1*ISERROR(VLOOKUP(Z108,G86:Y95,19,FALSE)-40)=1,0,VLOOKUP(Z108,G86:Y95,19,FALSE)-40)</f>
        <v>0</v>
      </c>
      <c r="CO108" s="1162">
        <f>IF(1*ISERROR(VLOOKUP(Z108,I86:Y95,17,FALSE)-40)=1,0,VLOOKUP(Z108,I86:Y95,17,FALSE)-40)</f>
        <v>0</v>
      </c>
      <c r="CP108" s="1162">
        <f>IF(1*ISERROR(VLOOKUP(Z108,K86:Y95,15,FALSE)-40)=1,0,VLOOKUP(Z108,K86:Y95,15,FALSE)-40)</f>
        <v>0</v>
      </c>
      <c r="CQ108" s="1162">
        <f>IF(1*ISERROR(VLOOKUP(Z108,M86:Y95,13,FALSE)-40)=1,0,VLOOKUP(Z108,M86:Y95,13,FALSE)-40)</f>
        <v>0</v>
      </c>
      <c r="CR108" s="1162">
        <f>IF(1*ISERROR(VLOOKUP(Z108,O86:Y95,11,FALSE)-40)=1,0,VLOOKUP(Z108,O86:Y95,11,FALSE)-40)</f>
        <v>0</v>
      </c>
      <c r="CS108" s="1162">
        <f>IF(1*ISERROR(VLOOKUP(Z108,Q86:Y95,9,FALSE)-40)=1,0,VLOOKUP(Z108,Q86:Y95,9,FALSE)-40)</f>
        <v>0</v>
      </c>
      <c r="CT108" s="1162">
        <f>IF(1*ISERROR(VLOOKUP(Z108,S86:Y95,7,FALSE)-40)=1,0,VLOOKUP(Z108,S86:Y95,7,FALSE)-40)</f>
        <v>0</v>
      </c>
      <c r="CU108" s="1162">
        <f>IF(1*ISERROR(VLOOKUP(Z108,U86:Y95,5,FALSE)-40)=1,0,VLOOKUP(Z108,U86:Y95,5,FALSE)-40)</f>
        <v>0</v>
      </c>
      <c r="CV108" s="1162">
        <v>0</v>
      </c>
      <c r="CW108" s="1162">
        <f t="shared" si="17"/>
        <v>0</v>
      </c>
      <c r="CX108" s="1162">
        <f>IF(CW108=0,35,_xlfn.RANK.EQ(CW108,CW98:CW132))</f>
        <v>35</v>
      </c>
      <c r="CY108" s="1162">
        <f>IF(CX108=35,35,CX108+COUNTIF(CX$98:CX107,CX108)/COUNTIF(CX$98:CX$132,CX108))</f>
        <v>35</v>
      </c>
      <c r="CZ108" s="1162">
        <f t="shared" si="18"/>
        <v>13</v>
      </c>
      <c r="DA108" s="1162" t="s">
        <v>408</v>
      </c>
      <c r="DB108" s="834"/>
      <c r="DC108" s="834"/>
      <c r="DD108" s="839"/>
      <c r="DE108" s="1098"/>
      <c r="DF108" s="1098"/>
      <c r="DG108" s="1098"/>
      <c r="DH108" s="1098"/>
      <c r="DI108" s="1098"/>
      <c r="DJ108" s="1098"/>
      <c r="DK108" s="1098"/>
      <c r="DL108" s="1098"/>
      <c r="DM108" s="1098"/>
      <c r="DN108" s="1098"/>
      <c r="DO108" s="1098"/>
    </row>
    <row r="109" spans="1:119" s="1086" customFormat="1">
      <c r="Y109" s="1113">
        <f t="shared" si="7"/>
        <v>12</v>
      </c>
      <c r="Z109" s="1162" t="s">
        <v>409</v>
      </c>
      <c r="AA109" s="1162">
        <f>IF(1*ISERROR(VLOOKUP(Z109,C46:Y55,23,FALSE))=1,0,VLOOKUP(Z109,C46:Y55,23,FALSE))</f>
        <v>0</v>
      </c>
      <c r="AB109" s="1162">
        <f>IF(1*ISERROR(VLOOKUP(Z109,E46:Y55,21,FALSE))=1,0,VLOOKUP(Z109,E46:Y55,21,FALSE))</f>
        <v>0</v>
      </c>
      <c r="AC109" s="1162">
        <f>IF(1*ISERROR(VLOOKUP(Z109,G46:Y55,19,FALSE))=1,0,VLOOKUP(Z109,G46:Y55,19,FALSE))</f>
        <v>0</v>
      </c>
      <c r="AD109" s="1162">
        <f>IF(1*ISERROR(VLOOKUP(Z109,I46:Y55,17,FALSE))=1,0,VLOOKUP(Z109,I46:Y55,17,FALSE))</f>
        <v>0</v>
      </c>
      <c r="AE109" s="1162">
        <f>IF(1*ISERROR(VLOOKUP(Z109,K46:Y55,15,FALSE))=1,0,VLOOKUP(Z109,K46:Y55,15,FALSE))</f>
        <v>0</v>
      </c>
      <c r="AF109" s="1162">
        <f>IF(1*ISERROR(VLOOKUP(Z109,M46:Y55,13,FALSE))=1,0,VLOOKUP(Z109,M46:Y55,13,FALSE))</f>
        <v>0</v>
      </c>
      <c r="AG109" s="1162">
        <f>IF(1*ISERROR(VLOOKUP(Z109,O46:Y55,11,FALSE))=1,0,VLOOKUP(Z109,O46:Y55,11,FALSE))</f>
        <v>0</v>
      </c>
      <c r="AH109" s="1162">
        <f>IF(1*ISERROR(VLOOKUP(Z109,Q46:Y55,9,FALSE))=1,0,VLOOKUP(Z109,Q46:Y55,9,FALSE))</f>
        <v>0</v>
      </c>
      <c r="AI109" s="1162">
        <f>IF(1*ISERROR(VLOOKUP(Z109,S46:Y55,7,FALSE))=1,0,VLOOKUP(Z109,S46:Y55,7,FALSE))</f>
        <v>0</v>
      </c>
      <c r="AJ109" s="1162">
        <f>IF(1*ISERROR(VLOOKUP(Z109,U46:Y55,5,FALSE))=1,0,VLOOKUP(Z109,U46:Y55,5,FALSE))</f>
        <v>0</v>
      </c>
      <c r="AK109" s="1162">
        <f>IF(1*ISERROR(VLOOKUP(Z109,U48:Z57,5,FALSE))=1,0,VLOOKUP(Z109,U48:Z57,5,FALSE))</f>
        <v>0</v>
      </c>
      <c r="AL109" s="1162">
        <f t="shared" si="8"/>
        <v>0</v>
      </c>
      <c r="AM109" s="1162">
        <f>IF(AL109=0,35,_xlfn.RANK.EQ(AL109,AL98:AL132))</f>
        <v>35</v>
      </c>
      <c r="AN109" s="1162">
        <f>IF(AM109=35,35,AM109+COUNTIF(AM$98:AM108,AM109)/COUNTIF(AM$98:AM$132,AM109))</f>
        <v>35</v>
      </c>
      <c r="AO109" s="1162">
        <f t="shared" si="9"/>
        <v>13</v>
      </c>
      <c r="AP109" s="1162" t="s">
        <v>409</v>
      </c>
      <c r="AQ109" s="1162">
        <f>IF(1*ISERROR(VLOOKUP(Z109,C56:Y65,23,FALSE)-10)=1,0,VLOOKUP(Z109,C56:Y65,23,FALSE)-10)</f>
        <v>0</v>
      </c>
      <c r="AR109" s="1162">
        <f>IF(1*ISERROR(VLOOKUP(Z109,E56:Y65,21,FALSE)-10)=1,0,VLOOKUP(Z109,E56:Y65,21,FALSE)-10)</f>
        <v>0</v>
      </c>
      <c r="AS109" s="1162">
        <f>IF(1*ISERROR(VLOOKUP(Z109,G56:Y65,19,FALSE)-10)=1,0,VLOOKUP(Z109,G56:Y65,19,FALSE)-10)</f>
        <v>0</v>
      </c>
      <c r="AT109" s="1162">
        <f>IF(1*ISERROR(VLOOKUP(Z109,I56:Y65,17,FALSE)-10)=1,0,VLOOKUP(Z109,I56:Y65,17,FALSE)-10)</f>
        <v>0</v>
      </c>
      <c r="AU109" s="1162">
        <f>IF(1*ISERROR(VLOOKUP(Z109,K56:Y65,15,FALSE)-10)=1,0,VLOOKUP(Z109,K56:Y65,15,FALSE)-10)</f>
        <v>0</v>
      </c>
      <c r="AV109" s="1162">
        <f>IF(1*ISERROR(VLOOKUP(Z109,M56:Y65,13,FALSE)-10)=1,0,VLOOKUP(Z109,M56:Y65,13,FALSE)-10)</f>
        <v>0</v>
      </c>
      <c r="AW109" s="1162">
        <f>IF(1*ISERROR(VLOOKUP(Z109,O56:Y65,11,FALSE)-10)=1,0,VLOOKUP(Z109,O56:Y65,11,FALSE)-10)</f>
        <v>0</v>
      </c>
      <c r="AX109" s="1162">
        <f>IF(1*ISERROR(VLOOKUP(Z109,Q56:Y65,9,FALSE)-10)=1,0,VLOOKUP(Z109,Q56:Y65,9,FALSE)-10)</f>
        <v>0</v>
      </c>
      <c r="AY109" s="1162">
        <f>IF(1*ISERROR(VLOOKUP(Z109,S56:Y65,7,FALSE)-10)=1,0,VLOOKUP(Z109,S56:Y65,7,FALSE)-10)</f>
        <v>0</v>
      </c>
      <c r="AZ109" s="1163">
        <f>IF(1*ISERROR(VLOOKUP(Z109,U56:Y65,5,FALSE)-10)=1,0,VLOOKUP(Z109,U56:Y65,5,FALSE)-10)</f>
        <v>0</v>
      </c>
      <c r="BA109" s="1162">
        <f t="shared" si="10"/>
        <v>0</v>
      </c>
      <c r="BB109" s="1162">
        <f>IF(BA109=0,35,_xlfn.RANK.EQ(BA109,BA98:BA132))</f>
        <v>35</v>
      </c>
      <c r="BC109" s="1162">
        <f>IF(BB109=35,35,BB109+COUNTIF(BB$98:BB108,BB109)/COUNTIF(BB$98:BB$132,BB109))</f>
        <v>35</v>
      </c>
      <c r="BD109" s="1162">
        <f t="shared" si="11"/>
        <v>13</v>
      </c>
      <c r="BE109" s="1162" t="s">
        <v>409</v>
      </c>
      <c r="BF109" s="1162">
        <f>IF(1*ISERROR(VLOOKUP(Z109,C66:Y75,23,FALSE)-20)=1,0,VLOOKUP(Z109,C66:Y75,23,FALSE)-20)</f>
        <v>0</v>
      </c>
      <c r="BG109" s="1162">
        <f>IF(1*ISERROR(VLOOKUP(Z109,E66:Y75,21,FALSE)-20)=1,0,VLOOKUP(Z109,E66:Y75,21,FALSE)-20)</f>
        <v>0</v>
      </c>
      <c r="BH109" s="1162">
        <f>IF(1*ISERROR(VLOOKUP(Z109,G66:Y75,19,FALSE)-20)=1,0,VLOOKUP(Z109,G66:Y75,19,FALSE)-20)</f>
        <v>0</v>
      </c>
      <c r="BI109" s="1162">
        <f>IF(1*ISERROR(VLOOKUP(Z109,I66:Y75,17,FALSE)-20)=1,0,VLOOKUP(Z109,I66:Y75,17,FALSE)-20)</f>
        <v>0</v>
      </c>
      <c r="BJ109" s="1162">
        <f>IF(1*ISERROR(VLOOKUP(Z109,K66:Y75,15,FALSE)-20)=1,0,VLOOKUP(Z109,K66:Y75,15,FALSE)-20)</f>
        <v>0</v>
      </c>
      <c r="BK109" s="1162">
        <f>IF(1*ISERROR(VLOOKUP(Z109,M66:Y75,13,FALSE)-20)=1,0,VLOOKUP(Z109,M66:Y75,13,FALSE)-20)</f>
        <v>0</v>
      </c>
      <c r="BL109" s="1162">
        <f>IF(1*ISERROR(VLOOKUP(Z109,O66:Y75,11,FALSE)-20)=1,0,VLOOKUP(Z109,O66:Y75,11,FALSE)-20)</f>
        <v>0</v>
      </c>
      <c r="BM109" s="1162">
        <f>IF(1*ISERROR(VLOOKUP(Z109,Q66:Y75,9,FALSE)-20)=1,0,VLOOKUP(Z109,Q66:Y75,9,FALSE)-20)</f>
        <v>0</v>
      </c>
      <c r="BN109" s="1162">
        <f>IF(1*ISERROR(VLOOKUP(Z109,S66:Y75,7,FALSE)-20)=1,0,VLOOKUP(Z109,S66:Y75,7,FALSE)-20)</f>
        <v>0</v>
      </c>
      <c r="BO109" s="1162">
        <f>IF(1*ISERROR(VLOOKUP(Z109,U66:Y75,5,FALSE)-20)=1,0,VLOOKUP(Z109,U66:Y75,5,FALSE)-20)</f>
        <v>0</v>
      </c>
      <c r="BP109" s="1162">
        <f t="shared" si="20"/>
        <v>0</v>
      </c>
      <c r="BQ109" s="1162">
        <f t="shared" si="12"/>
        <v>0</v>
      </c>
      <c r="BR109" s="1162">
        <f>IF(BQ109=0,35,_xlfn.RANK.EQ(BQ109,BQ98:BQ132))</f>
        <v>35</v>
      </c>
      <c r="BS109" s="1162">
        <f>IF(BR109=35,35,BR109+COUNTIF(BR$98:BR108,BR109)/COUNTIF(BR$98:BR$132,BR109))</f>
        <v>35</v>
      </c>
      <c r="BT109" s="1162">
        <f t="shared" si="13"/>
        <v>13</v>
      </c>
      <c r="BU109" s="1162" t="s">
        <v>409</v>
      </c>
      <c r="BV109" s="1162">
        <f>IF(1*ISERROR(VLOOKUP(Z109,C76:Y85,23,FALSE)-30)=1,0,VLOOKUP(Z109,C76:Y85,23,FALSE)-30)</f>
        <v>0</v>
      </c>
      <c r="BW109" s="1162">
        <f>IF(1*ISERROR(VLOOKUP(Z109,E76:Y85,21,FALSE)-30)=1,0,VLOOKUP(Z109,E76:Y85,21,FALSE)-30)</f>
        <v>0</v>
      </c>
      <c r="BX109" s="1162">
        <f>IF(1*ISERROR(VLOOKUP(Z109,G76:Y85,19,FALSE)-30)=1,0,VLOOKUP(Z109,G76:Y85,19,FALSE)-30)</f>
        <v>0</v>
      </c>
      <c r="BY109" s="1162">
        <f>IF(1*ISERROR(VLOOKUP(Z109,I76:Y85,17,FALSE)-30)=1,0,VLOOKUP(Z109,I76:Y85,17,FALSE)-30)</f>
        <v>0</v>
      </c>
      <c r="BZ109" s="1162">
        <f>IF(1*ISERROR(VLOOKUP(Z109,K76:Y85,15,FALSE)-30)=1,0,VLOOKUP(Z109,K76:Y85,15,FALSE)-30)</f>
        <v>0</v>
      </c>
      <c r="CA109" s="1162">
        <f>IF(1*ISERROR(VLOOKUP(Z109,M76:Y85,13,FALSE)-30)=1,0,VLOOKUP(Z109,M76:Y85,13,FALSE)-30)</f>
        <v>0</v>
      </c>
      <c r="CB109" s="1162">
        <f>IF(1*ISERROR(VLOOKUP(Z109,O76:Y85,11,FALSE)-30)=1,0,VLOOKUP(Z109,O76:Y85,11,FALSE)-30)</f>
        <v>0</v>
      </c>
      <c r="CC109" s="1162">
        <f>IF(1*ISERROR(VLOOKUP(Z109,Q76:Y85,9,FALSE)-30)=1,0,VLOOKUP(Z109,Q76:Y85,9,FALSE)-30)</f>
        <v>0</v>
      </c>
      <c r="CD109" s="1162">
        <f>IF(1*ISERROR(VLOOKUP(Z109,S76:Y85,7,FALSE)-30)=1,0,VLOOKUP(Z109,S76:Y85,7,FALSE)-30)</f>
        <v>0</v>
      </c>
      <c r="CE109" s="1162">
        <f>IF(1*ISERROR(VLOOKUP(Z109,U76:Y85,5,FALSE)-30)=1,0,VLOOKUP(Z109,U76:Y85,5,FALSE)-30)</f>
        <v>0</v>
      </c>
      <c r="CF109" s="1163">
        <f>IF(1*ISERROR(VLOOKUP(Z109,W77:Z86,5,FALSE)-30)=1,0,VLOOKUP(Z109,W77:Z86,5,FALSE)-30)</f>
        <v>0</v>
      </c>
      <c r="CG109" s="1162">
        <f t="shared" si="14"/>
        <v>0</v>
      </c>
      <c r="CH109" s="1162">
        <f t="shared" si="15"/>
        <v>35</v>
      </c>
      <c r="CI109" s="1162">
        <f>IF(CH109=35,35,CH109+COUNTIF(CH$98:CH108,CH109)/COUNTIF(CH$98:CH$132,CH109))</f>
        <v>35</v>
      </c>
      <c r="CJ109" s="1162">
        <f t="shared" si="16"/>
        <v>20</v>
      </c>
      <c r="CK109" s="1162" t="s">
        <v>409</v>
      </c>
      <c r="CL109" s="1162">
        <f>IF(1*ISERROR(VLOOKUP(Z109,C86:Y95,23,FALSE)-40)=1,0,VLOOKUP(Z109,C86:Y95,23,FALSE)-40)</f>
        <v>0</v>
      </c>
      <c r="CM109" s="1162">
        <f>IF(1*ISERROR(VLOOKUP(Z109,E86:Y95,21,FALSE)-40)=1,0,VLOOKUP(Z109,E86:Y95,21,FALSE)-40)</f>
        <v>0</v>
      </c>
      <c r="CN109" s="1162">
        <f>IF(1*ISERROR(VLOOKUP(Z109,G86:Y95,19,FALSE)-40)=1,0,VLOOKUP(Z109,G86:Y95,19,FALSE)-40)</f>
        <v>0</v>
      </c>
      <c r="CO109" s="1162">
        <f>IF(1*ISERROR(VLOOKUP(Z109,I86:Y95,17,FALSE)-40)=1,0,VLOOKUP(Z109,I86:Y95,17,FALSE)-40)</f>
        <v>0</v>
      </c>
      <c r="CP109" s="1162">
        <f>IF(1*ISERROR(VLOOKUP(Z109,K86:Y95,15,FALSE)-40)=1,0,VLOOKUP(Z109,K86:Y95,15,FALSE)-40)</f>
        <v>0</v>
      </c>
      <c r="CQ109" s="1162">
        <f>IF(1*ISERROR(VLOOKUP(Z109,M86:Y95,13,FALSE)-40)=1,0,VLOOKUP(Z109,M86:Y95,13,FALSE)-40)</f>
        <v>0</v>
      </c>
      <c r="CR109" s="1162">
        <f>IF(1*ISERROR(VLOOKUP(Z109,O86:Y95,11,FALSE)-40)=1,0,VLOOKUP(Z109,O86:Y95,11,FALSE)-40)</f>
        <v>0</v>
      </c>
      <c r="CS109" s="1162">
        <f>IF(1*ISERROR(VLOOKUP(Z109,Q86:Y95,9,FALSE)-40)=1,0,VLOOKUP(Z109,Q86:Y95,9,FALSE)-40)</f>
        <v>0</v>
      </c>
      <c r="CT109" s="1162">
        <f>IF(1*ISERROR(VLOOKUP(Z109,S86:Y95,7,FALSE)-40)=1,0,VLOOKUP(Z109,S86:Y95,7,FALSE)-40)</f>
        <v>0</v>
      </c>
      <c r="CU109" s="1162">
        <f>IF(1*ISERROR(VLOOKUP(Z109,U86:Y95,5,FALSE)-40)=1,0,VLOOKUP(Z109,U86:Y95,5,FALSE)-40)</f>
        <v>0</v>
      </c>
      <c r="CV109" s="1162">
        <v>0</v>
      </c>
      <c r="CW109" s="1162">
        <f t="shared" si="17"/>
        <v>0</v>
      </c>
      <c r="CX109" s="1162">
        <f>IF(CW109=0,35,_xlfn.RANK.EQ(CW109,CW98:CW132))</f>
        <v>35</v>
      </c>
      <c r="CY109" s="1162">
        <f>IF(CX109=35,35,CX109+COUNTIF(CX$98:CX108,CX109)/COUNTIF(CX$98:CX$132,CX109))</f>
        <v>35</v>
      </c>
      <c r="CZ109" s="1162">
        <f t="shared" si="18"/>
        <v>13</v>
      </c>
      <c r="DA109" s="1162" t="s">
        <v>409</v>
      </c>
      <c r="DB109" s="834"/>
      <c r="DC109" s="834"/>
      <c r="DD109" s="839"/>
      <c r="DE109" s="1098"/>
      <c r="DF109" s="1098"/>
      <c r="DG109" s="1098"/>
      <c r="DH109" s="1098"/>
      <c r="DI109" s="1098"/>
      <c r="DJ109" s="1098"/>
      <c r="DK109" s="1098"/>
      <c r="DL109" s="1098"/>
      <c r="DM109" s="1098"/>
      <c r="DN109" s="1098"/>
      <c r="DO109" s="1098"/>
    </row>
    <row r="110" spans="1:119" s="1086" customFormat="1">
      <c r="Y110" s="1113">
        <f t="shared" si="7"/>
        <v>13</v>
      </c>
      <c r="Z110" s="1162" t="s">
        <v>376</v>
      </c>
      <c r="AA110" s="1162">
        <f>IF(1*ISERROR(VLOOKUP(Z110,C46:Y55,23,FALSE))=1,0,VLOOKUP(Z110,C46:Y55,23,FALSE))</f>
        <v>1</v>
      </c>
      <c r="AB110" s="1162">
        <f>IF(1*ISERROR(VLOOKUP(Z110,E46:Y55,21,FALSE))=1,0,VLOOKUP(Z110,E46:Y55,21,FALSE))</f>
        <v>1</v>
      </c>
      <c r="AC110" s="1162">
        <f>IF(1*ISERROR(VLOOKUP(Z110,G46:Y55,19,FALSE))=1,0,VLOOKUP(Z110,G46:Y55,19,FALSE))</f>
        <v>1</v>
      </c>
      <c r="AD110" s="1162">
        <f>IF(1*ISERROR(VLOOKUP(Z110,I46:Y55,17,FALSE))=1,0,VLOOKUP(Z110,I46:Y55,17,FALSE))</f>
        <v>1</v>
      </c>
      <c r="AE110" s="1162">
        <f>IF(1*ISERROR(VLOOKUP(Z110,K46:Y55,15,FALSE))=1,0,VLOOKUP(Z110,K46:Y55,15,FALSE))</f>
        <v>1</v>
      </c>
      <c r="AF110" s="1162">
        <f>IF(1*ISERROR(VLOOKUP(Z110,M46:Y55,13,FALSE))=1,0,VLOOKUP(Z110,M46:Y55,13,FALSE))</f>
        <v>1</v>
      </c>
      <c r="AG110" s="1162">
        <f>IF(1*ISERROR(VLOOKUP(Z110,O46:Y55,11,FALSE))=1,0,VLOOKUP(Z110,O46:Y55,11,FALSE))</f>
        <v>1</v>
      </c>
      <c r="AH110" s="1162">
        <f>IF(1*ISERROR(VLOOKUP(Z110,Q46:Y55,9,FALSE))=1,0,VLOOKUP(Z110,Q46:Y55,9,FALSE))</f>
        <v>2</v>
      </c>
      <c r="AI110" s="1162">
        <f>IF(1*ISERROR(VLOOKUP(Z110,S46:Y55,7,FALSE))=1,0,VLOOKUP(Z110,S46:Y55,7,FALSE))</f>
        <v>1</v>
      </c>
      <c r="AJ110" s="1162">
        <f>IF(1*ISERROR(VLOOKUP(Z110,U46:Y55,5,FALSE))=1,0,VLOOKUP(Z110,U46:Y55,5,FALSE))</f>
        <v>2</v>
      </c>
      <c r="AK110" s="1162">
        <f>IF(1*ISERROR(VLOOKUP(Z110,U46:Z58,5,FALSE))=1,0,VLOOKUP(Z110,U46:Z58,5,FALSE))</f>
        <v>2</v>
      </c>
      <c r="AL110" s="1162">
        <f t="shared" si="8"/>
        <v>14</v>
      </c>
      <c r="AM110" s="1162">
        <f>IF(AL110=0,35,_xlfn.RANK.EQ(AL110,AL98:AL132))</f>
        <v>11</v>
      </c>
      <c r="AN110" s="1162">
        <f>IF(AM110=35,35,AM110+COUNTIF(AM$98:AM109,AM110)/COUNTIF(AM$98:AM$132,AM110))</f>
        <v>11</v>
      </c>
      <c r="AO110" s="1162">
        <f t="shared" si="9"/>
        <v>11</v>
      </c>
      <c r="AP110" s="1162" t="s">
        <v>376</v>
      </c>
      <c r="AQ110" s="1162">
        <f>IF(1*ISERROR(VLOOKUP(Z110,C56:Y65,23,FALSE)-10)=1,0,VLOOKUP(Z110,C56:Y65,23,FALSE)-10)</f>
        <v>9</v>
      </c>
      <c r="AR110" s="1162">
        <f>IF(1*ISERROR(VLOOKUP(Z110,E56:Y65,21,FALSE)-10)=1,0,VLOOKUP(Z110,E56:Y65,21,FALSE)-10)</f>
        <v>0</v>
      </c>
      <c r="AS110" s="1162">
        <f>IF(1*ISERROR(VLOOKUP(Z110,G56:Y65,19,FALSE)-10)=1,0,VLOOKUP(Z110,G56:Y65,19,FALSE)-10)</f>
        <v>0</v>
      </c>
      <c r="AT110" s="1162">
        <f>IF(1*ISERROR(VLOOKUP(Z110,I56:Y65,17,FALSE)-10)=1,0,VLOOKUP(Z110,I56:Y65,17,FALSE)-10)</f>
        <v>6</v>
      </c>
      <c r="AU110" s="1162">
        <f>IF(1*ISERROR(VLOOKUP(Z110,K56:Y65,15,FALSE)-10)=1,0,VLOOKUP(Z110,K56:Y65,15,FALSE)-10)</f>
        <v>5</v>
      </c>
      <c r="AV110" s="1162">
        <f>IF(1*ISERROR(VLOOKUP(Z110,M56:Y65,13,FALSE)-10)=1,0,VLOOKUP(Z110,M56:Y65,13,FALSE)-10)</f>
        <v>5</v>
      </c>
      <c r="AW110" s="1162">
        <f>IF(1*ISERROR(VLOOKUP(Z110,O56:Y65,11,FALSE)-10)=1,0,VLOOKUP(Z110,O56:Y65,11,FALSE)-10)</f>
        <v>5</v>
      </c>
      <c r="AX110" s="1162">
        <f>IF(1*ISERROR(VLOOKUP(Z110,Q56:Y65,9,FALSE)-10)=1,0,VLOOKUP(Z110,Q56:Y65,9,FALSE)-10)</f>
        <v>5</v>
      </c>
      <c r="AY110" s="1162">
        <f>IF(1*ISERROR(VLOOKUP(Z110,S56:Y65,7,FALSE)-10)=1,0,VLOOKUP(Z110,S56:Y65,7,FALSE)-10)</f>
        <v>4</v>
      </c>
      <c r="AZ110" s="1163">
        <f>IF(1*ISERROR(VLOOKUP(Z110,U56:Y65,5,FALSE)-10)=1,0,VLOOKUP(Z110,U56:Y65,5,FALSE)-10)</f>
        <v>4</v>
      </c>
      <c r="BA110" s="1162">
        <f t="shared" si="10"/>
        <v>43</v>
      </c>
      <c r="BB110" s="1162">
        <f>IF(BA110=0,35,_xlfn.RANK.EQ(BA110,BA98:BA132))</f>
        <v>7</v>
      </c>
      <c r="BC110" s="1162">
        <f>IF(BB110=35,35,BB110+COUNTIF(BB$98:BB109,BB110)/COUNTIF(BB$98:BB$132,BB110))</f>
        <v>7</v>
      </c>
      <c r="BD110" s="1162">
        <f t="shared" si="11"/>
        <v>7</v>
      </c>
      <c r="BE110" s="1162" t="s">
        <v>376</v>
      </c>
      <c r="BF110" s="1162">
        <f>IF(1*ISERROR(VLOOKUP(Z110,C66:Y75,23,FALSE)-20)=1,0,VLOOKUP(Z110,C66:Y75,23,FALSE)-20)</f>
        <v>0</v>
      </c>
      <c r="BG110" s="1162">
        <f>IF(1*ISERROR(VLOOKUP(Z110,E66:Y75,21,FALSE)-20)=1,0,VLOOKUP(Z110,E66:Y75,21,FALSE)-20)</f>
        <v>0</v>
      </c>
      <c r="BH110" s="1162">
        <f>IF(1*ISERROR(VLOOKUP(Z110,G66:Y75,19,FALSE)-20)=1,0,VLOOKUP(Z110,G66:Y75,19,FALSE)-20)</f>
        <v>9</v>
      </c>
      <c r="BI110" s="1162">
        <f>IF(1*ISERROR(VLOOKUP(Z110,I66:Y75,17,FALSE)-20)=1,0,VLOOKUP(Z110,I66:Y75,17,FALSE)-20)</f>
        <v>9</v>
      </c>
      <c r="BJ110" s="1162">
        <f>IF(1*ISERROR(VLOOKUP(Z110,K66:Y75,15,FALSE)-20)=1,0,VLOOKUP(Z110,K66:Y75,15,FALSE)-20)</f>
        <v>9</v>
      </c>
      <c r="BK110" s="1162">
        <f>IF(1*ISERROR(VLOOKUP(Z110,M66:Y75,13,FALSE)-20)=1,0,VLOOKUP(Z110,M66:Y75,13,FALSE)-20)</f>
        <v>8</v>
      </c>
      <c r="BL110" s="1162">
        <f>IF(1*ISERROR(VLOOKUP(Z110,O66:Y75,11,FALSE)-20)=1,0,VLOOKUP(Z110,O66:Y75,11,FALSE)-20)</f>
        <v>6</v>
      </c>
      <c r="BM110" s="1162">
        <f>IF(1*ISERROR(VLOOKUP(Z110,Q66:Y75,9,FALSE)-20)=1,0,VLOOKUP(Z110,Q66:Y75,9,FALSE)-20)</f>
        <v>7</v>
      </c>
      <c r="BN110" s="1162">
        <f>IF(1*ISERROR(VLOOKUP(Z110,S66:Y75,7,FALSE)-20)=1,0,VLOOKUP(Z110,S66:Y75,7,FALSE)-20)</f>
        <v>4</v>
      </c>
      <c r="BO110" s="1162">
        <f>IF(1*ISERROR(VLOOKUP(Z110,U66:Y75,5,FALSE)-20)=1,0,VLOOKUP(Z110,U66:Y75,5,FALSE)-20)</f>
        <v>4</v>
      </c>
      <c r="BP110" s="1162">
        <v>5</v>
      </c>
      <c r="BQ110" s="1162">
        <f t="shared" si="12"/>
        <v>61</v>
      </c>
      <c r="BR110" s="1162">
        <f>IF(BQ110=0,35,_xlfn.RANK.EQ(BQ110,BQ98:BQ132))</f>
        <v>5</v>
      </c>
      <c r="BS110" s="1162">
        <f>IF(BR110=35,35,BR110+COUNTIF(BR$98:BR109,BR110)/COUNTIF(BR$98:BR$132,BR110))</f>
        <v>5</v>
      </c>
      <c r="BT110" s="1162">
        <f t="shared" si="13"/>
        <v>5</v>
      </c>
      <c r="BU110" s="1162" t="s">
        <v>376</v>
      </c>
      <c r="BV110" s="1162">
        <f>IF(1*ISERROR(VLOOKUP(Z110,C76:Y85,23,FALSE)-30)=1,0,VLOOKUP(Z110,C76:Y85,23,FALSE)-30)</f>
        <v>0</v>
      </c>
      <c r="BW110" s="1162">
        <f>IF(1*ISERROR(VLOOKUP(Z110,E76:Y85,21,FALSE)-30)=1,0,VLOOKUP(Z110,E76:Y85,21,FALSE)-30)</f>
        <v>0</v>
      </c>
      <c r="BX110" s="1162">
        <f>IF(1*ISERROR(VLOOKUP(Z110,G76:Y85,19,FALSE)-30)=1,0,VLOOKUP(Z110,G76:Y85,19,FALSE)-30)</f>
        <v>0</v>
      </c>
      <c r="BY110" s="1162">
        <f>IF(1*ISERROR(VLOOKUP(Z110,I76:Y85,17,FALSE)-30)=1,0,VLOOKUP(Z110,I76:Y85,17,FALSE)-30)</f>
        <v>0</v>
      </c>
      <c r="BZ110" s="1162">
        <f>IF(1*ISERROR(VLOOKUP(Z110,K76:Y85,15,FALSE)-30)=1,0,VLOOKUP(Z110,K76:Y85,15,FALSE)-30)</f>
        <v>0</v>
      </c>
      <c r="CA110" s="1162">
        <f>IF(1*ISERROR(VLOOKUP(Z110,M76:Y85,13,FALSE)-30)=1,0,VLOOKUP(Z110,M76:Y85,13,FALSE)-30)</f>
        <v>0</v>
      </c>
      <c r="CB110" s="1162">
        <f>IF(1*ISERROR(VLOOKUP(Z110,O76:Y85,11,FALSE)-30)=1,0,VLOOKUP(Z110,O76:Y85,11,FALSE)-30)</f>
        <v>0</v>
      </c>
      <c r="CC110" s="1162">
        <f>IF(1*ISERROR(VLOOKUP(Z110,Q76:Y85,9,FALSE)-30)=1,0,VLOOKUP(Z110,Q76:Y85,9,FALSE)-30)</f>
        <v>0</v>
      </c>
      <c r="CD110" s="1162">
        <f>IF(1*ISERROR(VLOOKUP(Z110,S76:Y85,7,FALSE)-30)=1,0,VLOOKUP(Z110,S76:Y85,7,FALSE)-30)</f>
        <v>0</v>
      </c>
      <c r="CE110" s="1162">
        <f>IF(1*ISERROR(VLOOKUP(Z110,U76:Y85,5,FALSE)-30)=1,0,VLOOKUP(Z110,U76:Y85,5,FALSE)-30)</f>
        <v>7</v>
      </c>
      <c r="CF110" s="1163">
        <v>8</v>
      </c>
      <c r="CG110" s="1162">
        <f t="shared" si="14"/>
        <v>7</v>
      </c>
      <c r="CH110" s="1162">
        <f t="shared" si="15"/>
        <v>16</v>
      </c>
      <c r="CI110" s="1162">
        <f>IF(CH110=35,35,CH110+COUNTIF(CH$98:CH109,CH110)/COUNTIF(CH$98:CH$132,CH110))</f>
        <v>16</v>
      </c>
      <c r="CJ110" s="1162">
        <f t="shared" si="16"/>
        <v>16</v>
      </c>
      <c r="CK110" s="1162" t="s">
        <v>376</v>
      </c>
      <c r="CL110" s="1162">
        <f>IF(1*ISERROR(VLOOKUP(Z110,C86:Y95,23,FALSE)-40)=1,0,VLOOKUP(Z110,C86:Y95,23,FALSE)-40)</f>
        <v>2</v>
      </c>
      <c r="CM110" s="1162">
        <f>IF(1*ISERROR(VLOOKUP(Z110,E86:Y95,21,FALSE)-40)=1,0,VLOOKUP(Z110,E86:Y95,21,FALSE)-40)</f>
        <v>3</v>
      </c>
      <c r="CN110" s="1162">
        <f>IF(1*ISERROR(VLOOKUP(Z110,G86:Y95,19,FALSE)-40)=1,0,VLOOKUP(Z110,G86:Y95,19,FALSE)-40)</f>
        <v>3</v>
      </c>
      <c r="CO110" s="1162">
        <f>IF(1*ISERROR(VLOOKUP(Z110,I86:Y95,17,FALSE)-40)=1,0,VLOOKUP(Z110,I86:Y95,17,FALSE)-40)</f>
        <v>3</v>
      </c>
      <c r="CP110" s="1162">
        <f>IF(1*ISERROR(VLOOKUP(Z110,K86:Y95,15,FALSE)-40)=1,0,VLOOKUP(Z110,K86:Y95,15,FALSE)-40)</f>
        <v>3</v>
      </c>
      <c r="CQ110" s="1162">
        <f>IF(1*ISERROR(VLOOKUP(Z110,M86:Y95,13,FALSE)-40)=1,0,VLOOKUP(Z110,M86:Y95,13,FALSE)-40)</f>
        <v>3</v>
      </c>
      <c r="CR110" s="1162">
        <f>IF(1*ISERROR(VLOOKUP(Z110,O86:Y95,11,FALSE)-40)=1,0,VLOOKUP(Z110,O86:Y95,11,FALSE)-40)</f>
        <v>3</v>
      </c>
      <c r="CS110" s="1162">
        <f>IF(1*ISERROR(VLOOKUP(Z110,Q86:Y95,9,FALSE)-40)=1,0,VLOOKUP(Z110,Q86:Y95,9,FALSE)-40)</f>
        <v>3</v>
      </c>
      <c r="CT110" s="1162">
        <f>IF(1*ISERROR(VLOOKUP(Z110,S86:Y95,7,FALSE)-40)=1,0,VLOOKUP(Z110,S86:Y95,7,FALSE)-40)</f>
        <v>3</v>
      </c>
      <c r="CU110" s="1162">
        <f>IF(1*ISERROR(VLOOKUP(Z110,U86:Y95,5,FALSE)-40)=1,0,VLOOKUP(Z110,U86:Y95,5,FALSE)-40)</f>
        <v>3</v>
      </c>
      <c r="CV110" s="1162">
        <v>3</v>
      </c>
      <c r="CW110" s="1162">
        <f t="shared" si="17"/>
        <v>32</v>
      </c>
      <c r="CX110" s="1162">
        <f>IF(CW110=0,35,_xlfn.RANK.EQ(CW110,CW98:CW132))</f>
        <v>9</v>
      </c>
      <c r="CY110" s="1162">
        <f>IF(CX110=35,35,CX110+COUNTIF(CX$98:CX109,CX110)/COUNTIF(CX$98:CX$132,CX110))</f>
        <v>9</v>
      </c>
      <c r="CZ110" s="1162">
        <f t="shared" si="18"/>
        <v>9</v>
      </c>
      <c r="DA110" s="1162" t="s">
        <v>376</v>
      </c>
      <c r="DB110" s="834"/>
      <c r="DC110" s="834"/>
      <c r="DD110" s="839"/>
      <c r="DE110" s="1098"/>
      <c r="DF110" s="1098"/>
      <c r="DG110" s="1098"/>
      <c r="DH110" s="1098"/>
      <c r="DI110" s="1098"/>
      <c r="DJ110" s="1098"/>
      <c r="DK110" s="1098"/>
      <c r="DL110" s="1098"/>
      <c r="DM110" s="1098"/>
      <c r="DN110" s="1098"/>
      <c r="DO110" s="1098"/>
    </row>
    <row r="111" spans="1:119" s="1086" customFormat="1">
      <c r="Y111" s="1113">
        <f t="shared" si="7"/>
        <v>14</v>
      </c>
      <c r="Z111" s="1162" t="s">
        <v>383</v>
      </c>
      <c r="AA111" s="1162">
        <f>IF(1*ISERROR(VLOOKUP(Z111,C46:Y55,23,FALSE))=1,0,VLOOKUP(Z111,C46:Y55,23,FALSE))</f>
        <v>7</v>
      </c>
      <c r="AB111" s="1162">
        <f>IF(1*ISERROR(VLOOKUP(Z111,E46:Y55,21,FALSE))=1,0,VLOOKUP(Z111,E46:Y55,21,FALSE))</f>
        <v>7</v>
      </c>
      <c r="AC111" s="1162">
        <f>IF(1*ISERROR(VLOOKUP(Z111,G46:Y55,19,FALSE))=1,0,VLOOKUP(Z111,G46:Y55,19,FALSE))</f>
        <v>7</v>
      </c>
      <c r="AD111" s="1162">
        <f>IF(1*ISERROR(VLOOKUP(Z111,I46:Y55,17,FALSE))=1,0,VLOOKUP(Z111,I46:Y55,17,FALSE))</f>
        <v>7</v>
      </c>
      <c r="AE111" s="1162">
        <f>IF(1*ISERROR(VLOOKUP(Z111,K46:Y55,15,FALSE))=1,0,VLOOKUP(Z111,K46:Y55,15,FALSE))</f>
        <v>8</v>
      </c>
      <c r="AF111" s="1162">
        <f>IF(1*ISERROR(VLOOKUP(Z111,M46:Y55,13,FALSE))=1,0,VLOOKUP(Z111,M46:Y55,13,FALSE))</f>
        <v>7</v>
      </c>
      <c r="AG111" s="1162">
        <f>IF(1*ISERROR(VLOOKUP(Z111,O46:Y55,11,FALSE))=1,0,VLOOKUP(Z111,O46:Y55,11,FALSE))</f>
        <v>10</v>
      </c>
      <c r="AH111" s="1162">
        <f>IF(1*ISERROR(VLOOKUP(Z111,Q46:Y55,9,FALSE))=1,0,VLOOKUP(Z111,Q46:Y55,9,FALSE))</f>
        <v>10</v>
      </c>
      <c r="AI111" s="1162">
        <f>IF(1*ISERROR(VLOOKUP(Z111,S46:Y55,7,FALSE))=1,0,VLOOKUP(Z111,S46:Y55,7,FALSE))</f>
        <v>10</v>
      </c>
      <c r="AJ111" s="1162">
        <f>IF(1*ISERROR(VLOOKUP(Z111,U46:Y55,5,FALSE))=1,0,VLOOKUP(Z111,U46:Y55,5,FALSE))</f>
        <v>10</v>
      </c>
      <c r="AK111" s="1162">
        <f>IF(1*ISERROR(VLOOKUP(Z111,U47:Z59,5,FALSE))=1,0,VLOOKUP(Z111,U47:Z59,5,FALSE))</f>
        <v>10</v>
      </c>
      <c r="AL111" s="1162">
        <f t="shared" si="8"/>
        <v>93</v>
      </c>
      <c r="AM111" s="1162">
        <f>IF(AL111=0,35,_xlfn.RANK.EQ(AL111,AL98:AL132))</f>
        <v>2</v>
      </c>
      <c r="AN111" s="1162">
        <f>IF(AM111=35,35,AM111+COUNTIF(AM$98:AM110,AM111)/COUNTIF(AM$98:AM$132,AM111))</f>
        <v>2</v>
      </c>
      <c r="AO111" s="1162">
        <f t="shared" si="9"/>
        <v>2</v>
      </c>
      <c r="AP111" s="1162" t="s">
        <v>383</v>
      </c>
      <c r="AQ111" s="1162">
        <f>IF(1*ISERROR(VLOOKUP(Z111,C56:Y65,23,FALSE)-10)=1,0,VLOOKUP(Z111,C56:Y65,23,FALSE)-10)</f>
        <v>0</v>
      </c>
      <c r="AR111" s="1162">
        <f>IF(1*ISERROR(VLOOKUP(Z111,E56:Y65,21,FALSE)-10)=1,0,VLOOKUP(Z111,E56:Y65,21,FALSE)-10)</f>
        <v>0</v>
      </c>
      <c r="AS111" s="1162">
        <f>IF(1*ISERROR(VLOOKUP(Z111,G56:Y65,19,FALSE)-10)=1,0,VLOOKUP(Z111,G56:Y65,19,FALSE)-10)</f>
        <v>0</v>
      </c>
      <c r="AT111" s="1162">
        <f>IF(1*ISERROR(VLOOKUP(Z111,I56:Y65,17,FALSE)-10)=1,0,VLOOKUP(Z111,I56:Y65,17,FALSE)-10)</f>
        <v>0</v>
      </c>
      <c r="AU111" s="1162">
        <f>IF(1*ISERROR(VLOOKUP(Z111,K56:Y65,15,FALSE)-10)=1,0,VLOOKUP(Z111,K56:Y65,15,FALSE)-10)</f>
        <v>0</v>
      </c>
      <c r="AV111" s="1162">
        <f>IF(1*ISERROR(VLOOKUP(Z111,M56:Y65,13,FALSE)-10)=1,0,VLOOKUP(Z111,M56:Y65,13,FALSE)-10)</f>
        <v>0</v>
      </c>
      <c r="AW111" s="1162">
        <f>IF(1*ISERROR(VLOOKUP(Z111,O56:Y65,11,FALSE)-10)=1,0,VLOOKUP(Z111,O56:Y65,11,FALSE)-10)</f>
        <v>0</v>
      </c>
      <c r="AX111" s="1162">
        <f>IF(1*ISERROR(VLOOKUP(Z111,Q56:Y65,9,FALSE)-10)=1,0,VLOOKUP(Z111,Q56:Y65,9,FALSE)-10)</f>
        <v>0</v>
      </c>
      <c r="AY111" s="1162">
        <f>IF(1*ISERROR(VLOOKUP(Z111,S56:Y65,7,FALSE)-10)=1,0,VLOOKUP(Z111,S56:Y65,7,FALSE)-10)</f>
        <v>0</v>
      </c>
      <c r="AZ111" s="1163">
        <f>IF(1*ISERROR(VLOOKUP(Z111,U56:Y65,5,FALSE)-10)=1,0,VLOOKUP(Z111,U56:Y65,5,FALSE)-10)</f>
        <v>0</v>
      </c>
      <c r="BA111" s="1162">
        <f t="shared" si="10"/>
        <v>0</v>
      </c>
      <c r="BB111" s="1162">
        <f>IF(BA111=0,35,_xlfn.RANK.EQ(BA111,BA98:BA132))</f>
        <v>35</v>
      </c>
      <c r="BC111" s="1162">
        <f>IF(BB111=35,35,BB111+COUNTIF(BB$98:BB110,BB111)/COUNTIF(BB$98:BB$132,BB111))</f>
        <v>35</v>
      </c>
      <c r="BD111" s="1162">
        <f t="shared" si="11"/>
        <v>13</v>
      </c>
      <c r="BE111" s="1162" t="s">
        <v>383</v>
      </c>
      <c r="BF111" s="1162">
        <f>IF(1*ISERROR(VLOOKUP(Z111,C66:Y75,23,FALSE)-20)=1,0,VLOOKUP(Z111,C66:Y75,23,FALSE)-20)</f>
        <v>0</v>
      </c>
      <c r="BG111" s="1162">
        <f>IF(1*ISERROR(VLOOKUP(Z111,E66:Y75,21,FALSE)-20)=1,0,VLOOKUP(Z111,E66:Y75,21,FALSE)-20)</f>
        <v>0</v>
      </c>
      <c r="BH111" s="1162">
        <f>IF(1*ISERROR(VLOOKUP(Z111,G66:Y75,19,FALSE)-20)=1,0,VLOOKUP(Z111,G66:Y75,19,FALSE)-20)</f>
        <v>0</v>
      </c>
      <c r="BI111" s="1162">
        <f>IF(1*ISERROR(VLOOKUP(Z111,I66:Y75,17,FALSE)-20)=1,0,VLOOKUP(Z111,I66:Y75,17,FALSE)-20)</f>
        <v>0</v>
      </c>
      <c r="BJ111" s="1162">
        <f>IF(1*ISERROR(VLOOKUP(Z111,K66:Y75,15,FALSE)-20)=1,0,VLOOKUP(Z111,K66:Y75,15,FALSE)-20)</f>
        <v>0</v>
      </c>
      <c r="BK111" s="1162">
        <f>IF(1*ISERROR(VLOOKUP(Z111,M66:Y75,13,FALSE)-20)=1,0,VLOOKUP(Z111,M66:Y75,13,FALSE)-20)</f>
        <v>0</v>
      </c>
      <c r="BL111" s="1162">
        <f>IF(1*ISERROR(VLOOKUP(Z111,O66:Y75,11,FALSE)-20)=1,0,VLOOKUP(Z111,O66:Y75,11,FALSE)-20)</f>
        <v>0</v>
      </c>
      <c r="BM111" s="1162">
        <f>IF(1*ISERROR(VLOOKUP(Z111,Q66:Y75,9,FALSE)-20)=1,0,VLOOKUP(Z111,Q66:Y75,9,FALSE)-20)</f>
        <v>0</v>
      </c>
      <c r="BN111" s="1162">
        <f>IF(1*ISERROR(VLOOKUP(Z111,S66:Y75,7,FALSE)-20)=1,0,VLOOKUP(Z111,S66:Y75,7,FALSE)-20)</f>
        <v>0</v>
      </c>
      <c r="BO111" s="1162">
        <f>IF(1*ISERROR(VLOOKUP(Z111,U66:Y75,5,FALSE)-20)=1,0,VLOOKUP(Z111,U66:Y75,5,FALSE)-20)</f>
        <v>0</v>
      </c>
      <c r="BP111" s="1162">
        <f t="shared" si="20"/>
        <v>0</v>
      </c>
      <c r="BQ111" s="1162">
        <f t="shared" si="12"/>
        <v>0</v>
      </c>
      <c r="BR111" s="1162">
        <f>IF(BQ111=0,35,_xlfn.RANK.EQ(BQ111,BQ98:BQ132))</f>
        <v>35</v>
      </c>
      <c r="BS111" s="1162">
        <f>IF(BR111=35,35,BR111+COUNTIF(BR$98:BR110,BR111)/COUNTIF(BR$98:BR$132,BR111))</f>
        <v>35</v>
      </c>
      <c r="BT111" s="1162">
        <f t="shared" si="13"/>
        <v>13</v>
      </c>
      <c r="BU111" s="1162" t="s">
        <v>383</v>
      </c>
      <c r="BV111" s="1162">
        <f>IF(1*ISERROR(VLOOKUP(Z111,C76:Y85,23,FALSE)-30)=1,0,VLOOKUP(Z111,C76:Y85,23,FALSE)-30)</f>
        <v>0</v>
      </c>
      <c r="BW111" s="1162">
        <f>IF(1*ISERROR(VLOOKUP(Z111,E76:Y85,21,FALSE)-30)=1,0,VLOOKUP(Z111,E76:Y85,21,FALSE)-30)</f>
        <v>0</v>
      </c>
      <c r="BX111" s="1162">
        <f>IF(1*ISERROR(VLOOKUP(Z111,G76:Y85,19,FALSE)-30)=1,0,VLOOKUP(Z111,G76:Y85,19,FALSE)-30)</f>
        <v>0</v>
      </c>
      <c r="BY111" s="1162">
        <f>IF(1*ISERROR(VLOOKUP(Z111,I76:Y85,17,FALSE)-30)=1,0,VLOOKUP(Z111,I76:Y85,17,FALSE)-30)</f>
        <v>0</v>
      </c>
      <c r="BZ111" s="1162">
        <f>IF(1*ISERROR(VLOOKUP(Z111,K76:Y85,15,FALSE)-30)=1,0,VLOOKUP(Z111,K76:Y85,15,FALSE)-30)</f>
        <v>0</v>
      </c>
      <c r="CA111" s="1162">
        <f>IF(1*ISERROR(VLOOKUP(Z111,M76:Y85,13,FALSE)-30)=1,0,VLOOKUP(Z111,M76:Y85,13,FALSE)-30)</f>
        <v>0</v>
      </c>
      <c r="CB111" s="1162">
        <f>IF(1*ISERROR(VLOOKUP(Z111,O76:Y85,11,FALSE)-30)=1,0,VLOOKUP(Z111,O76:Y85,11,FALSE)-30)</f>
        <v>0</v>
      </c>
      <c r="CC111" s="1162">
        <f>IF(1*ISERROR(VLOOKUP(Z111,Q76:Y85,9,FALSE)-30)=1,0,VLOOKUP(Z111,Q76:Y85,9,FALSE)-30)</f>
        <v>0</v>
      </c>
      <c r="CD111" s="1162">
        <f>IF(1*ISERROR(VLOOKUP(Z111,S76:Y85,7,FALSE)-30)=1,0,VLOOKUP(Z111,S76:Y85,7,FALSE)-30)</f>
        <v>0</v>
      </c>
      <c r="CE111" s="1162">
        <f>IF(1*ISERROR(VLOOKUP(Z111,U76:Y85,5,FALSE)-30)=1,0,VLOOKUP(Z111,U76:Y85,5,FALSE)-30)</f>
        <v>0</v>
      </c>
      <c r="CF111" s="1163">
        <f t="shared" ref="CF111:CF131" si="21">IF(1*ISERROR(VLOOKUP(Z111,U77:Z86,5,FALSE)-30)=1,0,VLOOKUP(Z111,U77:Z86,5,FALSE)-30)</f>
        <v>0</v>
      </c>
      <c r="CG111" s="1162">
        <f t="shared" si="14"/>
        <v>0</v>
      </c>
      <c r="CH111" s="1162">
        <f t="shared" si="15"/>
        <v>35</v>
      </c>
      <c r="CI111" s="1162">
        <f>IF(CH111=35,35,CH111+COUNTIF(CH$98:CH110,CH111)/COUNTIF(CH$98:CH$132,CH111))</f>
        <v>35</v>
      </c>
      <c r="CJ111" s="1162">
        <f t="shared" si="16"/>
        <v>20</v>
      </c>
      <c r="CK111" s="1162" t="s">
        <v>383</v>
      </c>
      <c r="CL111" s="1162">
        <f>IF(1*ISERROR(VLOOKUP(Z111,C86:Y95,23,FALSE)-40)=1,0,VLOOKUP(Z111,C86:Y95,23,FALSE)-40)</f>
        <v>0</v>
      </c>
      <c r="CM111" s="1162">
        <f>IF(1*ISERROR(VLOOKUP(Z111,E86:Y95,21,FALSE)-40)=1,0,VLOOKUP(Z111,E86:Y95,21,FALSE)-40)</f>
        <v>0</v>
      </c>
      <c r="CN111" s="1162">
        <f>IF(1*ISERROR(VLOOKUP(Z111,G86:Y95,19,FALSE)-40)=1,0,VLOOKUP(Z111,G86:Y95,19,FALSE)-40)</f>
        <v>0</v>
      </c>
      <c r="CO111" s="1162">
        <f>IF(1*ISERROR(VLOOKUP(Z111,I86:Y95,17,FALSE)-40)=1,0,VLOOKUP(Z111,I86:Y95,17,FALSE)-40)</f>
        <v>0</v>
      </c>
      <c r="CP111" s="1162">
        <f>IF(1*ISERROR(VLOOKUP(Z111,K86:Y95,15,FALSE)-40)=1,0,VLOOKUP(Z111,K86:Y95,15,FALSE)-40)</f>
        <v>0</v>
      </c>
      <c r="CQ111" s="1162">
        <f>IF(1*ISERROR(VLOOKUP(Z111,M86:Y95,13,FALSE)-40)=1,0,VLOOKUP(Z111,M86:Y95,13,FALSE)-40)</f>
        <v>0</v>
      </c>
      <c r="CR111" s="1162">
        <f>IF(1*ISERROR(VLOOKUP(Z111,O86:Y95,11,FALSE)-40)=1,0,VLOOKUP(Z111,O86:Y95,11,FALSE)-40)</f>
        <v>0</v>
      </c>
      <c r="CS111" s="1162">
        <f>IF(1*ISERROR(VLOOKUP(Z111,Q86:Y95,9,FALSE)-40)=1,0,VLOOKUP(Z111,Q86:Y95,9,FALSE)-40)</f>
        <v>0</v>
      </c>
      <c r="CT111" s="1162">
        <f>IF(1*ISERROR(VLOOKUP(Z111,S86:Y95,7,FALSE)-40)=1,0,VLOOKUP(Z111,S86:Y95,7,FALSE)-40)</f>
        <v>0</v>
      </c>
      <c r="CU111" s="1162">
        <f>IF(1*ISERROR(VLOOKUP(Z111,U86:Y95,5,FALSE)-40)=1,0,VLOOKUP(Z111,U86:Y95,5,FALSE)-40)</f>
        <v>0</v>
      </c>
      <c r="CV111" s="1162">
        <v>0</v>
      </c>
      <c r="CW111" s="1162">
        <f t="shared" si="17"/>
        <v>0</v>
      </c>
      <c r="CX111" s="1162">
        <f>IF(CW111=0,35,_xlfn.RANK.EQ(CW111,CW98:CW132))</f>
        <v>35</v>
      </c>
      <c r="CY111" s="1162">
        <f>IF(CX111=35,35,CX111+COUNTIF(CX$98:CX110,CX111)/COUNTIF(CX$98:CX$132,CX111))</f>
        <v>35</v>
      </c>
      <c r="CZ111" s="1162">
        <f t="shared" si="18"/>
        <v>13</v>
      </c>
      <c r="DA111" s="1162" t="s">
        <v>383</v>
      </c>
      <c r="DB111" s="834"/>
      <c r="DC111" s="834"/>
      <c r="DD111" s="839"/>
      <c r="DE111" s="1098"/>
      <c r="DF111" s="1098"/>
      <c r="DG111" s="1098"/>
      <c r="DH111" s="1098"/>
      <c r="DI111" s="1098"/>
      <c r="DJ111" s="1098"/>
      <c r="DK111" s="1098"/>
      <c r="DL111" s="1098"/>
      <c r="DM111" s="1098"/>
      <c r="DN111" s="1098"/>
      <c r="DO111" s="1098"/>
    </row>
    <row r="112" spans="1:119" s="1086" customFormat="1">
      <c r="Y112" s="1113">
        <f t="shared" si="7"/>
        <v>15</v>
      </c>
      <c r="Z112" s="1162" t="s">
        <v>386</v>
      </c>
      <c r="AA112" s="1162">
        <f>IF(1*ISERROR(VLOOKUP(Z112,C46:Y55,23,FALSE))=1,0,VLOOKUP(Z112,C46:Y55,23,FALSE))</f>
        <v>10</v>
      </c>
      <c r="AB112" s="1162">
        <f>IF(1*ISERROR(VLOOKUP(Z112,E46:Y55,21,FALSE))=1,0,VLOOKUP(Z112,E46:Y55,21,FALSE))</f>
        <v>10</v>
      </c>
      <c r="AC112" s="1162">
        <f>IF(1*ISERROR(VLOOKUP(Z112,G46:Y55,19,FALSE))=1,0,VLOOKUP(Z112,G46:Y55,19,FALSE))</f>
        <v>8</v>
      </c>
      <c r="AD112" s="1162">
        <f>IF(1*ISERROR(VLOOKUP(Z112,I46:Y55,17,FALSE))=1,0,VLOOKUP(Z112,I46:Y55,17,FALSE))</f>
        <v>9</v>
      </c>
      <c r="AE112" s="1162">
        <f>IF(1*ISERROR(VLOOKUP(Z112,K46:Y55,15,FALSE))=1,0,VLOOKUP(Z112,K46:Y55,15,FALSE))</f>
        <v>10</v>
      </c>
      <c r="AF112" s="1162">
        <f>IF(1*ISERROR(VLOOKUP(Z112,M46:Y55,13,FALSE))=1,0,VLOOKUP(Z112,M46:Y55,13,FALSE))</f>
        <v>9</v>
      </c>
      <c r="AG112" s="1162">
        <f>IF(1*ISERROR(VLOOKUP(Z112,O46:Y55,11,FALSE))=1,0,VLOOKUP(Z112,O46:Y55,11,FALSE))</f>
        <v>8</v>
      </c>
      <c r="AH112" s="1162">
        <f>IF(1*ISERROR(VLOOKUP(Z112,Q46:Y55,9,FALSE))=1,0,VLOOKUP(Z112,Q46:Y55,9,FALSE))</f>
        <v>8</v>
      </c>
      <c r="AI112" s="1162">
        <f>IF(1*ISERROR(VLOOKUP(Z112,S46:Y55,7,FALSE))=1,0,VLOOKUP(Z112,S46:Y55,7,FALSE))</f>
        <v>8</v>
      </c>
      <c r="AJ112" s="1162">
        <f>IF(1*ISERROR(VLOOKUP(Z112,U46:Y55,5,FALSE))=1,0,VLOOKUP(Z112,U46:Y55,5,FALSE))</f>
        <v>8</v>
      </c>
      <c r="AK112" s="1162">
        <f>IF(1*ISERROR(VLOOKUP(Z112,U48:Z60,5,FALSE))=1,0,VLOOKUP(Z112,U48:Z60,5,FALSE))</f>
        <v>8</v>
      </c>
      <c r="AL112" s="1162">
        <f t="shared" si="8"/>
        <v>96</v>
      </c>
      <c r="AM112" s="1162">
        <f>IF(AL112=0,35,_xlfn.RANK.EQ(AL112,AL98:AL132))</f>
        <v>1</v>
      </c>
      <c r="AN112" s="1162">
        <f>IF(AM112=35,35,AM112+COUNTIF(AM$98:AM111,AM112)/COUNTIF(AM$98:AM$132,AM112))</f>
        <v>1</v>
      </c>
      <c r="AO112" s="1162">
        <f t="shared" si="9"/>
        <v>1</v>
      </c>
      <c r="AP112" s="1162" t="s">
        <v>386</v>
      </c>
      <c r="AQ112" s="1162">
        <f>IF(1*ISERROR(VLOOKUP(Z112,C56:Y65,23,FALSE)-10)=1,0,VLOOKUP(Z112,C56:Y65,23,FALSE)-10)</f>
        <v>0</v>
      </c>
      <c r="AR112" s="1162">
        <f>IF(1*ISERROR(VLOOKUP(Z112,E56:Y65,21,FALSE)-10)=1,0,VLOOKUP(Z112,E56:Y65,21,FALSE)-10)</f>
        <v>0</v>
      </c>
      <c r="AS112" s="1162">
        <f>IF(1*ISERROR(VLOOKUP(Z112,G56:Y65,19,FALSE)-10)=1,0,VLOOKUP(Z112,G56:Y65,19,FALSE)-10)</f>
        <v>0</v>
      </c>
      <c r="AT112" s="1162">
        <f>IF(1*ISERROR(VLOOKUP(Z112,I56:Y65,17,FALSE)-10)=1,0,VLOOKUP(Z112,I56:Y65,17,FALSE)-10)</f>
        <v>0</v>
      </c>
      <c r="AU112" s="1162">
        <f>IF(1*ISERROR(VLOOKUP(Z112,K56:Y65,15,FALSE)-10)=1,0,VLOOKUP(Z112,K56:Y65,15,FALSE)-10)</f>
        <v>0</v>
      </c>
      <c r="AV112" s="1162">
        <f>IF(1*ISERROR(VLOOKUP(Z112,M56:Y65,13,FALSE)-10)=1,0,VLOOKUP(Z112,M56:Y65,13,FALSE)-10)</f>
        <v>0</v>
      </c>
      <c r="AW112" s="1162">
        <f>IF(1*ISERROR(VLOOKUP(Z112,O56:Y65,11,FALSE)-10)=1,0,VLOOKUP(Z112,O56:Y65,11,FALSE)-10)</f>
        <v>0</v>
      </c>
      <c r="AX112" s="1162">
        <f>IF(1*ISERROR(VLOOKUP(Z112,Q56:Y65,9,FALSE)-10)=1,0,VLOOKUP(Z112,Q56:Y65,9,FALSE)-10)</f>
        <v>0</v>
      </c>
      <c r="AY112" s="1162">
        <f>IF(1*ISERROR(VLOOKUP(Z112,S56:Y65,7,FALSE)-10)=1,0,VLOOKUP(Z112,S56:Y65,7,FALSE)-10)</f>
        <v>0</v>
      </c>
      <c r="AZ112" s="1163">
        <f>IF(1*ISERROR(VLOOKUP(Z112,U56:Y65,5,FALSE)-10)=1,0,VLOOKUP(Z112,U56:Y65,5,FALSE)-10)</f>
        <v>0</v>
      </c>
      <c r="BA112" s="1162">
        <f t="shared" si="10"/>
        <v>0</v>
      </c>
      <c r="BB112" s="1162">
        <f>IF(BA112=0,35,_xlfn.RANK.EQ(BA112,BA98:BA132))</f>
        <v>35</v>
      </c>
      <c r="BC112" s="1162">
        <f>IF(BB112=35,35,BB112+COUNTIF(BB$98:BB111,BB112)/COUNTIF(BB$98:BB$132,BB112))</f>
        <v>35</v>
      </c>
      <c r="BD112" s="1162">
        <f t="shared" si="11"/>
        <v>13</v>
      </c>
      <c r="BE112" s="1162" t="s">
        <v>386</v>
      </c>
      <c r="BF112" s="1162">
        <f>IF(1*ISERROR(VLOOKUP(Z112,C66:Y75,23,FALSE)-20)=1,0,VLOOKUP(Z112,C66:Y75,23,FALSE)-20)</f>
        <v>0</v>
      </c>
      <c r="BG112" s="1162">
        <f>IF(1*ISERROR(VLOOKUP(Z112,E66:Y75,21,FALSE)-20)=1,0,VLOOKUP(Z112,E66:Y75,21,FALSE)-20)</f>
        <v>0</v>
      </c>
      <c r="BH112" s="1162">
        <f>IF(1*ISERROR(VLOOKUP(Z112,G66:Y75,19,FALSE)-20)=1,0,VLOOKUP(Z112,G66:Y75,19,FALSE)-20)</f>
        <v>0</v>
      </c>
      <c r="BI112" s="1162">
        <f>IF(1*ISERROR(VLOOKUP(Z112,I66:Y75,17,FALSE)-20)=1,0,VLOOKUP(Z112,I66:Y75,17,FALSE)-20)</f>
        <v>0</v>
      </c>
      <c r="BJ112" s="1162">
        <f>IF(1*ISERROR(VLOOKUP(Z112,K66:Y75,15,FALSE)-20)=1,0,VLOOKUP(Z112,K66:Y75,15,FALSE)-20)</f>
        <v>0</v>
      </c>
      <c r="BK112" s="1162">
        <f>IF(1*ISERROR(VLOOKUP(Z112,M66:Y75,13,FALSE)-20)=1,0,VLOOKUP(Z112,M66:Y75,13,FALSE)-20)</f>
        <v>0</v>
      </c>
      <c r="BL112" s="1162">
        <f>IF(1*ISERROR(VLOOKUP(Z112,O66:Y75,11,FALSE)-20)=1,0,VLOOKUP(Z112,O66:Y75,11,FALSE)-20)</f>
        <v>0</v>
      </c>
      <c r="BM112" s="1162">
        <f>IF(1*ISERROR(VLOOKUP(Z112,Q66:Y75,9,FALSE)-20)=1,0,VLOOKUP(Z112,Q66:Y75,9,FALSE)-20)</f>
        <v>0</v>
      </c>
      <c r="BN112" s="1162">
        <f>IF(1*ISERROR(VLOOKUP(Z112,S66:Y75,7,FALSE)-20)=1,0,VLOOKUP(Z112,S66:Y75,7,FALSE)-20)</f>
        <v>0</v>
      </c>
      <c r="BO112" s="1162">
        <f>IF(1*ISERROR(VLOOKUP(Z112,U66:Y75,5,FALSE)-20)=1,0,VLOOKUP(Z112,U66:Y75,5,FALSE)-20)</f>
        <v>0</v>
      </c>
      <c r="BP112" s="1162">
        <v>0</v>
      </c>
      <c r="BQ112" s="1162">
        <f t="shared" si="12"/>
        <v>0</v>
      </c>
      <c r="BR112" s="1162">
        <f>IF(BQ112=0,35,_xlfn.RANK.EQ(BQ112,BQ98:BQ132))</f>
        <v>35</v>
      </c>
      <c r="BS112" s="1162">
        <f>IF(BR112=35,35,BR112+COUNTIF(BR$98:BR111,BR112)/COUNTIF(BR$98:BR$132,BR112))</f>
        <v>35</v>
      </c>
      <c r="BT112" s="1162">
        <f t="shared" si="13"/>
        <v>13</v>
      </c>
      <c r="BU112" s="1162" t="s">
        <v>386</v>
      </c>
      <c r="BV112" s="1162">
        <f>IF(1*ISERROR(VLOOKUP(Z112,C76:Y85,23,FALSE)-30)=1,0,VLOOKUP(Z112,C76:Y85,23,FALSE)-30)</f>
        <v>0</v>
      </c>
      <c r="BW112" s="1162">
        <f>IF(1*ISERROR(VLOOKUP(Z112,E76:Y85,21,FALSE)-30)=1,0,VLOOKUP(Z112,E76:Y85,21,FALSE)-30)</f>
        <v>0</v>
      </c>
      <c r="BX112" s="1162">
        <f>IF(1*ISERROR(VLOOKUP(Z112,G76:Y85,19,FALSE)-30)=1,0,VLOOKUP(Z112,G76:Y85,19,FALSE)-30)</f>
        <v>0</v>
      </c>
      <c r="BY112" s="1162">
        <f>IF(1*ISERROR(VLOOKUP(Z112,I76:Y85,17,FALSE)-30)=1,0,VLOOKUP(Z112,I76:Y85,17,FALSE)-30)</f>
        <v>0</v>
      </c>
      <c r="BZ112" s="1162">
        <f>IF(1*ISERROR(VLOOKUP(Z112,K76:Y85,15,FALSE)-30)=1,0,VLOOKUP(Z112,K76:Y85,15,FALSE)-30)</f>
        <v>0</v>
      </c>
      <c r="CA112" s="1162">
        <f>IF(1*ISERROR(VLOOKUP(Z112,M76:Y85,13,FALSE)-30)=1,0,VLOOKUP(Z112,M76:Y85,13,FALSE)-30)</f>
        <v>0</v>
      </c>
      <c r="CB112" s="1162">
        <f>IF(1*ISERROR(VLOOKUP(Z112,O76:Y85,11,FALSE)-30)=1,0,VLOOKUP(Z112,O76:Y85,11,FALSE)-30)</f>
        <v>0</v>
      </c>
      <c r="CC112" s="1162">
        <f>IF(1*ISERROR(VLOOKUP(Z112,Q76:Y85,9,FALSE)-30)=1,0,VLOOKUP(Z112,Q76:Y85,9,FALSE)-30)</f>
        <v>0</v>
      </c>
      <c r="CD112" s="1162">
        <f>IF(1*ISERROR(VLOOKUP(Z112,S76:Y85,7,FALSE)-30)=1,0,VLOOKUP(Z112,S76:Y85,7,FALSE)-30)</f>
        <v>0</v>
      </c>
      <c r="CE112" s="1162">
        <f>IF(1*ISERROR(VLOOKUP(Z112,U76:Y85,5,FALSE)-30)=1,0,VLOOKUP(Z112,U76:Y85,5,FALSE)-30)</f>
        <v>4</v>
      </c>
      <c r="CF112" s="1163">
        <v>0</v>
      </c>
      <c r="CG112" s="1162">
        <f t="shared" si="14"/>
        <v>4</v>
      </c>
      <c r="CH112" s="1162">
        <f t="shared" si="15"/>
        <v>17</v>
      </c>
      <c r="CI112" s="1162">
        <f>IF(CH112=35,35,CH112+COUNTIF(CH$98:CH111,CH112)/COUNTIF(CH$98:CH$132,CH112))</f>
        <v>17</v>
      </c>
      <c r="CJ112" s="1162">
        <f t="shared" si="16"/>
        <v>17</v>
      </c>
      <c r="CK112" s="1162" t="s">
        <v>386</v>
      </c>
      <c r="CL112" s="1162">
        <f>IF(1*ISERROR(VLOOKUP(Z112,C86:Y95,23,FALSE)-40)=1,0,VLOOKUP(Z112,C86:Y95,23,FALSE)-40)</f>
        <v>0</v>
      </c>
      <c r="CM112" s="1162">
        <f>IF(1*ISERROR(VLOOKUP(Z112,E86:Y95,21,FALSE)-40)=1,0,VLOOKUP(Z112,E86:Y95,21,FALSE)-40)</f>
        <v>0</v>
      </c>
      <c r="CN112" s="1162">
        <f>IF(1*ISERROR(VLOOKUP(Z112,G86:Y95,19,FALSE)-40)=1,0,VLOOKUP(Z112,G86:Y95,19,FALSE)-40)</f>
        <v>0</v>
      </c>
      <c r="CO112" s="1162">
        <f>IF(1*ISERROR(VLOOKUP(Z112,I86:Y95,17,FALSE)-40)=1,0,VLOOKUP(Z112,I86:Y95,17,FALSE)-40)</f>
        <v>0</v>
      </c>
      <c r="CP112" s="1162">
        <f>IF(1*ISERROR(VLOOKUP(Z112,K86:Y95,15,FALSE)-40)=1,0,VLOOKUP(Z112,K86:Y95,15,FALSE)-40)</f>
        <v>0</v>
      </c>
      <c r="CQ112" s="1162">
        <f>IF(1*ISERROR(VLOOKUP(Z112,M86:Y95,13,FALSE)-40)=1,0,VLOOKUP(Z112,M86:Y95,13,FALSE)-40)</f>
        <v>0</v>
      </c>
      <c r="CR112" s="1162">
        <f>IF(1*ISERROR(VLOOKUP(Z112,O86:Y95,11,FALSE)-40)=1,0,VLOOKUP(Z112,O86:Y95,11,FALSE)-40)</f>
        <v>0</v>
      </c>
      <c r="CS112" s="1162">
        <f>IF(1*ISERROR(VLOOKUP(Z112,Q86:Y95,9,FALSE)-40)=1,0,VLOOKUP(Z112,Q86:Y95,9,FALSE)-40)</f>
        <v>0</v>
      </c>
      <c r="CT112" s="1162">
        <f>IF(1*ISERROR(VLOOKUP(Z112,S86:Y95,7,FALSE)-40)=1,0,VLOOKUP(Z112,S86:Y95,7,FALSE)-40)</f>
        <v>0</v>
      </c>
      <c r="CU112" s="1162">
        <f>IF(1*ISERROR(VLOOKUP(Z112,U86:Y95,5,FALSE)-40)=1,0,VLOOKUP(Z112,U86:Y95,5,FALSE)-40)</f>
        <v>0</v>
      </c>
      <c r="CV112" s="1162">
        <v>0</v>
      </c>
      <c r="CW112" s="1162">
        <f t="shared" si="17"/>
        <v>0</v>
      </c>
      <c r="CX112" s="1162">
        <f>IF(CW112=0,35,_xlfn.RANK.EQ(CW112,CW98:CW132))</f>
        <v>35</v>
      </c>
      <c r="CY112" s="1162">
        <f>IF(CX112=35,35,CX112+COUNTIF(CX$98:CX111,CX112)/COUNTIF(CX$98:CX$132,CX112))</f>
        <v>35</v>
      </c>
      <c r="CZ112" s="1162">
        <f t="shared" si="18"/>
        <v>13</v>
      </c>
      <c r="DA112" s="1162" t="s">
        <v>386</v>
      </c>
      <c r="DB112" s="834"/>
      <c r="DC112" s="834"/>
      <c r="DD112" s="839"/>
      <c r="DE112" s="1098"/>
      <c r="DF112" s="1098"/>
      <c r="DG112" s="1098"/>
      <c r="DH112" s="1098"/>
      <c r="DI112" s="1098"/>
      <c r="DJ112" s="1098"/>
      <c r="DK112" s="1098"/>
      <c r="DL112" s="1098"/>
      <c r="DM112" s="1098"/>
      <c r="DN112" s="1098"/>
      <c r="DO112" s="1098"/>
    </row>
    <row r="113" spans="25:119" s="1086" customFormat="1">
      <c r="Y113" s="1113">
        <f t="shared" si="7"/>
        <v>16</v>
      </c>
      <c r="Z113" s="1162" t="s">
        <v>385</v>
      </c>
      <c r="AA113" s="1162">
        <f>IF(1*ISERROR(VLOOKUP(Z113,C46:Y55,23,FALSE))=1,0,VLOOKUP(Z113,C46:Y55,23,FALSE))</f>
        <v>8</v>
      </c>
      <c r="AB113" s="1162">
        <f>IF(1*ISERROR(VLOOKUP(Z113,E46:Y55,21,FALSE))=1,0,VLOOKUP(Z113,E46:Y55,21,FALSE))</f>
        <v>9</v>
      </c>
      <c r="AC113" s="1162">
        <f>IF(1*ISERROR(VLOOKUP(Z113,G46:Y55,19,FALSE))=1,0,VLOOKUP(Z113,G46:Y55,19,FALSE))</f>
        <v>10</v>
      </c>
      <c r="AD113" s="1162">
        <f>IF(1*ISERROR(VLOOKUP(Z113,I46:Y55,17,FALSE))=1,0,VLOOKUP(Z113,I46:Y55,17,FALSE))</f>
        <v>10</v>
      </c>
      <c r="AE113" s="1162">
        <f>IF(1*ISERROR(VLOOKUP(Z113,K46:Y55,15,FALSE))=1,0,VLOOKUP(Z113,K46:Y55,15,FALSE))</f>
        <v>9</v>
      </c>
      <c r="AF113" s="1162">
        <f>IF(1*ISERROR(VLOOKUP(Z113,M46:Y55,13,FALSE))=1,0,VLOOKUP(Z113,M46:Y55,13,FALSE))</f>
        <v>8</v>
      </c>
      <c r="AG113" s="1162">
        <f>IF(1*ISERROR(VLOOKUP(Z113,O46:Y55,11,FALSE))=1,0,VLOOKUP(Z113,O46:Y55,11,FALSE))</f>
        <v>7</v>
      </c>
      <c r="AH113" s="1162">
        <f>IF(1*ISERROR(VLOOKUP(Z113,Q46:Y55,9,FALSE))=1,0,VLOOKUP(Z113,Q46:Y55,9,FALSE))</f>
        <v>7</v>
      </c>
      <c r="AI113" s="1162">
        <f>IF(1*ISERROR(VLOOKUP(Z113,S46:Y55,7,FALSE))=1,0,VLOOKUP(Z113,S46:Y55,7,FALSE))</f>
        <v>7</v>
      </c>
      <c r="AJ113" s="1162">
        <f>IF(1*ISERROR(VLOOKUP(Z113,U46:Y55,5,FALSE))=1,0,VLOOKUP(Z113,U46:Y55,5,FALSE))</f>
        <v>7</v>
      </c>
      <c r="AK113" s="1162">
        <f>IF(1*ISERROR(VLOOKUP(Z113,U49:Z61,5,FALSE))=1,0,VLOOKUP(Z113,U49:Z61,5,FALSE))</f>
        <v>7</v>
      </c>
      <c r="AL113" s="1162">
        <f t="shared" si="8"/>
        <v>89</v>
      </c>
      <c r="AM113" s="1162">
        <f>IF(AL113=0,35,_xlfn.RANK.EQ(AL113,AL98:AL132))</f>
        <v>3</v>
      </c>
      <c r="AN113" s="1162">
        <f>IF(AM113=35,35,AM113+COUNTIF(AM$98:AM112,AM113)/COUNTIF(AM$98:AM$132,AM113))</f>
        <v>3</v>
      </c>
      <c r="AO113" s="1162">
        <f t="shared" si="9"/>
        <v>3</v>
      </c>
      <c r="AP113" s="1162" t="s">
        <v>385</v>
      </c>
      <c r="AQ113" s="1162">
        <f>IF(1*ISERROR(VLOOKUP(Z113,C56:Y65,23,FALSE)-10)=1,0,VLOOKUP(Z113,C56:Y65,23,FALSE)-10)</f>
        <v>0</v>
      </c>
      <c r="AR113" s="1162">
        <f>IF(1*ISERROR(VLOOKUP(Z113,E56:Y65,21,FALSE)-10)=1,0,VLOOKUP(Z113,E56:Y65,21,FALSE)-10)</f>
        <v>0</v>
      </c>
      <c r="AS113" s="1162">
        <f>IF(1*ISERROR(VLOOKUP(Z113,G56:Y65,19,FALSE)-10)=1,0,VLOOKUP(Z113,G56:Y65,19,FALSE)-10)</f>
        <v>0</v>
      </c>
      <c r="AT113" s="1162">
        <f>IF(1*ISERROR(VLOOKUP(Z113,I56:Y65,17,FALSE)-10)=1,0,VLOOKUP(Z113,I56:Y65,17,FALSE)-10)</f>
        <v>0</v>
      </c>
      <c r="AU113" s="1162">
        <f>IF(1*ISERROR(VLOOKUP(Z113,K56:Y65,15,FALSE)-10)=1,0,VLOOKUP(Z113,K56:Y65,15,FALSE)-10)</f>
        <v>0</v>
      </c>
      <c r="AV113" s="1162">
        <f>IF(1*ISERROR(VLOOKUP(Z113,M56:Y65,13,FALSE)-10)=1,0,VLOOKUP(Z113,M56:Y65,13,FALSE)-10)</f>
        <v>0</v>
      </c>
      <c r="AW113" s="1162">
        <f>IF(1*ISERROR(VLOOKUP(Z113,O56:Y65,11,FALSE)-10)=1,0,VLOOKUP(Z113,O56:Y65,11,FALSE)-10)</f>
        <v>0</v>
      </c>
      <c r="AX113" s="1162">
        <f>IF(1*ISERROR(VLOOKUP(Z113,Q56:Y65,9,FALSE)-10)=1,0,VLOOKUP(Z113,Q56:Y65,9,FALSE)-10)</f>
        <v>0</v>
      </c>
      <c r="AY113" s="1162">
        <f>IF(1*ISERROR(VLOOKUP(Z113,S56:Y65,7,FALSE)-10)=1,0,VLOOKUP(Z113,S56:Y65,7,FALSE)-10)</f>
        <v>0</v>
      </c>
      <c r="AZ113" s="1163">
        <f>IF(1*ISERROR(VLOOKUP(Z113,U56:Y65,5,FALSE)-10)=1,0,VLOOKUP(Z113,U56:Y65,5,FALSE)-10)</f>
        <v>0</v>
      </c>
      <c r="BA113" s="1162">
        <f t="shared" si="10"/>
        <v>0</v>
      </c>
      <c r="BB113" s="1162">
        <f>IF(BA113=0,35,_xlfn.RANK.EQ(BA113,BA98:BA132))</f>
        <v>35</v>
      </c>
      <c r="BC113" s="1162">
        <f>IF(BB113=35,35,BB113+COUNTIF(BB$98:BB112,BB113)/COUNTIF(BB$98:BB$132,BB113))</f>
        <v>35</v>
      </c>
      <c r="BD113" s="1162">
        <f t="shared" si="11"/>
        <v>13</v>
      </c>
      <c r="BE113" s="1162" t="s">
        <v>385</v>
      </c>
      <c r="BF113" s="1162">
        <f>IF(1*ISERROR(VLOOKUP(Z113,C66:Y75,23,FALSE)-20)=1,0,VLOOKUP(Z113,C66:Y75,23,FALSE)-20)</f>
        <v>0</v>
      </c>
      <c r="BG113" s="1162">
        <f>IF(1*ISERROR(VLOOKUP(Z113,E66:Y75,21,FALSE)-20)=1,0,VLOOKUP(Z113,E66:Y75,21,FALSE)-20)</f>
        <v>0</v>
      </c>
      <c r="BH113" s="1162">
        <f>IF(1*ISERROR(VLOOKUP(Z113,G66:Y75,19,FALSE)-20)=1,0,VLOOKUP(Z113,G66:Y75,19,FALSE)-20)</f>
        <v>0</v>
      </c>
      <c r="BI113" s="1162">
        <f>IF(1*ISERROR(VLOOKUP(Z113,I66:Y75,17,FALSE)-20)=1,0,VLOOKUP(Z113,I66:Y75,17,FALSE)-20)</f>
        <v>0</v>
      </c>
      <c r="BJ113" s="1162">
        <f>IF(1*ISERROR(VLOOKUP(Z113,K66:Y75,15,FALSE)-20)=1,0,VLOOKUP(Z113,K66:Y75,15,FALSE)-20)</f>
        <v>0</v>
      </c>
      <c r="BK113" s="1162">
        <f>IF(1*ISERROR(VLOOKUP(Z113,M66:Y75,13,FALSE)-20)=1,0,VLOOKUP(Z113,M66:Y75,13,FALSE)-20)</f>
        <v>0</v>
      </c>
      <c r="BL113" s="1162">
        <f>IF(1*ISERROR(VLOOKUP(Z113,O66:Y75,11,FALSE)-20)=1,0,VLOOKUP(Z113,O66:Y75,11,FALSE)-20)</f>
        <v>0</v>
      </c>
      <c r="BM113" s="1162">
        <f>IF(1*ISERROR(VLOOKUP(Z113,Q66:Y75,9,FALSE)-20)=1,0,VLOOKUP(Z113,Q66:Y75,9,FALSE)-20)</f>
        <v>0</v>
      </c>
      <c r="BN113" s="1162">
        <f>IF(1*ISERROR(VLOOKUP(Z113,S66:Y75,7,FALSE)-20)=1,0,VLOOKUP(Z113,S66:Y75,7,FALSE)-20)</f>
        <v>0</v>
      </c>
      <c r="BO113" s="1162">
        <f>IF(1*ISERROR(VLOOKUP(Z113,U66:Y75,5,FALSE)-20)=1,0,VLOOKUP(Z113,U66:Y75,5,FALSE)-20)</f>
        <v>0</v>
      </c>
      <c r="BP113" s="1162">
        <v>0</v>
      </c>
      <c r="BQ113" s="1162">
        <f t="shared" si="12"/>
        <v>0</v>
      </c>
      <c r="BR113" s="1162">
        <f>IF(BQ113=0,35,_xlfn.RANK.EQ(BQ113,BQ98:BQ132))</f>
        <v>35</v>
      </c>
      <c r="BS113" s="1162">
        <f>IF(BR113=35,35,BR113+COUNTIF(BR$98:BR112,BR113)/COUNTIF(BR$98:BR$132,BR113))</f>
        <v>35</v>
      </c>
      <c r="BT113" s="1162">
        <f t="shared" si="13"/>
        <v>13</v>
      </c>
      <c r="BU113" s="1162" t="s">
        <v>385</v>
      </c>
      <c r="BV113" s="1162">
        <f>IF(1*ISERROR(VLOOKUP(Z113,C76:Y85,23,FALSE)-30)=1,0,VLOOKUP(Z113,C76:Y85,23,FALSE)-30)</f>
        <v>8</v>
      </c>
      <c r="BW113" s="1162">
        <f>IF(1*ISERROR(VLOOKUP(Z113,E76:Y85,21,FALSE)-30)=1,0,VLOOKUP(Z113,E76:Y85,21,FALSE)-30)</f>
        <v>10</v>
      </c>
      <c r="BX113" s="1162">
        <f>IF(1*ISERROR(VLOOKUP(Z113,G76:Y85,19,FALSE)-30)=1,0,VLOOKUP(Z113,G76:Y85,19,FALSE)-30)</f>
        <v>5</v>
      </c>
      <c r="BY113" s="1162">
        <f>IF(1*ISERROR(VLOOKUP(Z113,I76:Y85,17,FALSE)-30)=1,0,VLOOKUP(Z113,I76:Y85,17,FALSE)-30)</f>
        <v>4</v>
      </c>
      <c r="BZ113" s="1162">
        <f>IF(1*ISERROR(VLOOKUP(Z113,K76:Y85,15,FALSE)-30)=1,0,VLOOKUP(Z113,K76:Y85,15,FALSE)-30)</f>
        <v>10</v>
      </c>
      <c r="CA113" s="1162">
        <f>IF(1*ISERROR(VLOOKUP(Z113,M76:Y85,13,FALSE)-30)=1,0,VLOOKUP(Z113,M76:Y85,13,FALSE)-30)</f>
        <v>0</v>
      </c>
      <c r="CB113" s="1162">
        <f>IF(1*ISERROR(VLOOKUP(Z113,O76:Y85,11,FALSE)-30)=1,0,VLOOKUP(Z113,O76:Y85,11,FALSE)-30)</f>
        <v>0</v>
      </c>
      <c r="CC113" s="1162">
        <f>IF(1*ISERROR(VLOOKUP(Z113,Q76:Y85,9,FALSE)-30)=1,0,VLOOKUP(Z113,Q76:Y85,9,FALSE)-30)</f>
        <v>0</v>
      </c>
      <c r="CD113" s="1162">
        <f>IF(1*ISERROR(VLOOKUP(Z113,S76:Y85,7,FALSE)-30)=1,0,VLOOKUP(Z113,S76:Y85,7,FALSE)-30)</f>
        <v>0</v>
      </c>
      <c r="CE113" s="1162">
        <f>IF(1*ISERROR(VLOOKUP(Z113,U76:Y85,5,FALSE)-30)=1,0,VLOOKUP(Z113,U76:Y85,5,FALSE)-30)</f>
        <v>9</v>
      </c>
      <c r="CF113" s="1163">
        <v>0</v>
      </c>
      <c r="CG113" s="1162">
        <f t="shared" si="14"/>
        <v>46</v>
      </c>
      <c r="CH113" s="1162">
        <f t="shared" si="15"/>
        <v>7</v>
      </c>
      <c r="CI113" s="1162">
        <f>IF(CH113=35,35,CH113+COUNTIF(CH$98:CH112,CH113)/COUNTIF(CH$98:CH$132,CH113))</f>
        <v>7</v>
      </c>
      <c r="CJ113" s="1162">
        <f t="shared" si="16"/>
        <v>7</v>
      </c>
      <c r="CK113" s="1162" t="s">
        <v>385</v>
      </c>
      <c r="CL113" s="1162">
        <f>IF(1*ISERROR(VLOOKUP(Z113,C86:Y95,23,FALSE)-40)=1,0,VLOOKUP(Z113,C86:Y95,23,FALSE)-40)</f>
        <v>7</v>
      </c>
      <c r="CM113" s="1162">
        <f>IF(1*ISERROR(VLOOKUP(Z113,E86:Y95,21,FALSE)-40)=1,0,VLOOKUP(Z113,E86:Y95,21,FALSE)-40)</f>
        <v>9</v>
      </c>
      <c r="CN113" s="1162">
        <f>IF(1*ISERROR(VLOOKUP(Z113,G86:Y95,19,FALSE)-40)=1,0,VLOOKUP(Z113,G86:Y95,19,FALSE)-40)</f>
        <v>10</v>
      </c>
      <c r="CO113" s="1162">
        <f>IF(1*ISERROR(VLOOKUP(Z113,I86:Y95,17,FALSE)-40)=1,0,VLOOKUP(Z113,I86:Y95,17,FALSE)-40)</f>
        <v>10</v>
      </c>
      <c r="CP113" s="1162">
        <f>IF(1*ISERROR(VLOOKUP(Z113,K86:Y95,15,FALSE)-40)=1,0,VLOOKUP(Z113,K86:Y95,15,FALSE)-40)</f>
        <v>0</v>
      </c>
      <c r="CQ113" s="1162">
        <f>IF(1*ISERROR(VLOOKUP(Z113,M86:Y95,13,FALSE)-40)=1,0,VLOOKUP(Z113,M86:Y95,13,FALSE)-40)</f>
        <v>0</v>
      </c>
      <c r="CR113" s="1162">
        <f>IF(1*ISERROR(VLOOKUP(Z113,O86:Y95,11,FALSE)-40)=1,0,VLOOKUP(Z113,O86:Y95,11,FALSE)-40)</f>
        <v>0</v>
      </c>
      <c r="CS113" s="1162">
        <f>IF(1*ISERROR(VLOOKUP(Z113,Q86:Y95,9,FALSE)-40)=1,0,VLOOKUP(Z113,Q86:Y95,9,FALSE)-40)</f>
        <v>0</v>
      </c>
      <c r="CT113" s="1162">
        <f>IF(1*ISERROR(VLOOKUP(Z113,S86:Y95,7,FALSE)-40)=1,0,VLOOKUP(Z113,S86:Y95,7,FALSE)-40)</f>
        <v>0</v>
      </c>
      <c r="CU113" s="1162">
        <f>IF(1*ISERROR(VLOOKUP(Z113,U86:Y95,5,FALSE)-40)=1,0,VLOOKUP(Z113,U86:Y95,5,FALSE)-40)</f>
        <v>10</v>
      </c>
      <c r="CV113" s="1162">
        <v>10</v>
      </c>
      <c r="CW113" s="1162">
        <f t="shared" si="17"/>
        <v>56</v>
      </c>
      <c r="CX113" s="1162">
        <f>IF(CW113=0,35,_xlfn.RANK.EQ(CW113,CW98:CW132))</f>
        <v>6</v>
      </c>
      <c r="CY113" s="1162">
        <f>IF(CX113=35,35,CX113+COUNTIF(CX$98:CX112,CX113)/COUNTIF(CX$98:CX$132,CX113))</f>
        <v>6</v>
      </c>
      <c r="CZ113" s="1162">
        <f t="shared" si="18"/>
        <v>6</v>
      </c>
      <c r="DA113" s="1162" t="s">
        <v>385</v>
      </c>
      <c r="DB113" s="834"/>
      <c r="DC113" s="834"/>
      <c r="DD113" s="839"/>
      <c r="DE113" s="1098"/>
      <c r="DF113" s="1098"/>
      <c r="DG113" s="1098"/>
      <c r="DH113" s="1098"/>
      <c r="DI113" s="1098"/>
      <c r="DJ113" s="1098"/>
      <c r="DK113" s="1098"/>
      <c r="DL113" s="1098"/>
      <c r="DM113" s="1098"/>
      <c r="DN113" s="1098"/>
      <c r="DO113" s="1098"/>
    </row>
    <row r="114" spans="25:119" s="1086" customFormat="1">
      <c r="Y114" s="1113">
        <f t="shared" si="7"/>
        <v>17</v>
      </c>
      <c r="Z114" s="1162" t="s">
        <v>410</v>
      </c>
      <c r="AA114" s="1162">
        <f>IF(1*ISERROR(VLOOKUP(Z114,C46:Y55,23,FALSE))=1,0,VLOOKUP(Z114,C46:Y55,23,FALSE))</f>
        <v>0</v>
      </c>
      <c r="AB114" s="1162">
        <f>IF(1*ISERROR(VLOOKUP(Z114,E46:Y55,21,FALSE))=1,0,VLOOKUP(Z114,E46:Y55,21,FALSE))</f>
        <v>0</v>
      </c>
      <c r="AC114" s="1162">
        <f>IF(1*ISERROR(VLOOKUP(Z114,G46:Y55,19,FALSE))=1,0,VLOOKUP(Z114,G46:Y55,19,FALSE))</f>
        <v>0</v>
      </c>
      <c r="AD114" s="1162">
        <f>IF(1*ISERROR(VLOOKUP(Z114,I46:Y55,17,FALSE))=1,0,VLOOKUP(Z114,I46:Y55,17,FALSE))</f>
        <v>0</v>
      </c>
      <c r="AE114" s="1162">
        <f>IF(1*ISERROR(VLOOKUP(Z114,K46:Y55,15,FALSE))=1,0,VLOOKUP(Z114,K46:Y55,15,FALSE))</f>
        <v>0</v>
      </c>
      <c r="AF114" s="1162">
        <f>IF(1*ISERROR(VLOOKUP(Z114,M46:Y55,13,FALSE))=1,0,VLOOKUP(Z114,M46:Y55,13,FALSE))</f>
        <v>0</v>
      </c>
      <c r="AG114" s="1162">
        <f>IF(1*ISERROR(VLOOKUP(Z114,O46:Y55,11,FALSE))=1,0,VLOOKUP(Z114,O46:Y55,11,FALSE))</f>
        <v>0</v>
      </c>
      <c r="AH114" s="1162">
        <f>IF(1*ISERROR(VLOOKUP(Z114,Q46:Y55,9,FALSE))=1,0,VLOOKUP(Z114,Q46:Y55,9,FALSE))</f>
        <v>0</v>
      </c>
      <c r="AI114" s="1162">
        <f>IF(1*ISERROR(VLOOKUP(Z114,S46:Y55,7,FALSE))=1,0,VLOOKUP(Z114,S46:Y55,7,FALSE))</f>
        <v>0</v>
      </c>
      <c r="AJ114" s="1162">
        <f>IF(1*ISERROR(VLOOKUP(Z114,U46:Y55,5,FALSE))=1,0,VLOOKUP(Z114,U46:Y55,5,FALSE))</f>
        <v>0</v>
      </c>
      <c r="AK114" s="1162">
        <f>IF(1*ISERROR(VLOOKUP(Z114,U50:Z62,5,FALSE))=1,0,VLOOKUP(Z114,U50:Z62,5,FALSE))</f>
        <v>0</v>
      </c>
      <c r="AL114" s="1162">
        <f t="shared" si="8"/>
        <v>0</v>
      </c>
      <c r="AM114" s="1162">
        <f>IF(AL114=0,35,_xlfn.RANK.EQ(AL114,AL98:AL132))</f>
        <v>35</v>
      </c>
      <c r="AN114" s="1162">
        <f>IF(AM114=35,35,AM114+COUNTIF(AM$98:AM113,AM114)/COUNTIF(AM$98:AM$132,AM114))</f>
        <v>35</v>
      </c>
      <c r="AO114" s="1162">
        <f t="shared" si="9"/>
        <v>13</v>
      </c>
      <c r="AP114" s="1162" t="s">
        <v>410</v>
      </c>
      <c r="AQ114" s="1162">
        <f>IF(1*ISERROR(VLOOKUP(Z114,C56:Y65,23,FALSE)-10)=1,0,VLOOKUP(Z114,C56:Y65,23,FALSE)-10)</f>
        <v>0</v>
      </c>
      <c r="AR114" s="1162">
        <f>IF(1*ISERROR(VLOOKUP(Z114,E56:Y65,21,FALSE)-10)=1,0,VLOOKUP(Z114,E56:Y65,21,FALSE)-10)</f>
        <v>0</v>
      </c>
      <c r="AS114" s="1162">
        <f>IF(1*ISERROR(VLOOKUP(Z114,G56:Y65,19,FALSE)-10)=1,0,VLOOKUP(Z114,G56:Y65,19,FALSE)-10)</f>
        <v>0</v>
      </c>
      <c r="AT114" s="1162">
        <f>IF(1*ISERROR(VLOOKUP(Z114,I56:Y65,17,FALSE)-10)=1,0,VLOOKUP(Z114,I56:Y65,17,FALSE)-10)</f>
        <v>0</v>
      </c>
      <c r="AU114" s="1162">
        <f>IF(1*ISERROR(VLOOKUP(Z114,K56:Y65,15,FALSE)-10)=1,0,VLOOKUP(Z114,K56:Y65,15,FALSE)-10)</f>
        <v>0</v>
      </c>
      <c r="AV114" s="1162">
        <f>IF(1*ISERROR(VLOOKUP(Z114,M56:Y65,13,FALSE)-10)=1,0,VLOOKUP(Z114,M56:Y65,13,FALSE)-10)</f>
        <v>0</v>
      </c>
      <c r="AW114" s="1162">
        <f>IF(1*ISERROR(VLOOKUP(Z114,O56:Y65,11,FALSE)-10)=1,0,VLOOKUP(Z114,O56:Y65,11,FALSE)-10)</f>
        <v>0</v>
      </c>
      <c r="AX114" s="1162">
        <f>IF(1*ISERROR(VLOOKUP(Z114,Q56:Y65,9,FALSE)-10)=1,0,VLOOKUP(Z114,Q56:Y65,9,FALSE)-10)</f>
        <v>0</v>
      </c>
      <c r="AY114" s="1162">
        <f>IF(1*ISERROR(VLOOKUP(Z114,S56:Y65,7,FALSE)-10)=1,0,VLOOKUP(Z114,S56:Y65,7,FALSE)-10)</f>
        <v>0</v>
      </c>
      <c r="AZ114" s="1163">
        <f>IF(1*ISERROR(VLOOKUP(Z114,U56:Y65,5,FALSE)-10)=1,0,VLOOKUP(Z114,U56:Y65,5,FALSE)-10)</f>
        <v>0</v>
      </c>
      <c r="BA114" s="1162">
        <f t="shared" si="10"/>
        <v>0</v>
      </c>
      <c r="BB114" s="1162">
        <f>IF(BA114=0,35,_xlfn.RANK.EQ(BA114,BA98:BA132))</f>
        <v>35</v>
      </c>
      <c r="BC114" s="1162">
        <f>IF(BB114=35,35,BB114+COUNTIF(BB$98:BB113,BB114)/COUNTIF(BB$98:BB$132,BB114))</f>
        <v>35</v>
      </c>
      <c r="BD114" s="1162">
        <f t="shared" si="11"/>
        <v>13</v>
      </c>
      <c r="BE114" s="1162" t="s">
        <v>410</v>
      </c>
      <c r="BF114" s="1162">
        <f>IF(1*ISERROR(VLOOKUP(Z114,C66:Y75,23,FALSE)-20)=1,0,VLOOKUP(Z114,C66:Y75,23,FALSE)-20)</f>
        <v>0</v>
      </c>
      <c r="BG114" s="1162">
        <f>IF(1*ISERROR(VLOOKUP(Z114,E66:Y75,21,FALSE)-20)=1,0,VLOOKUP(Z114,E66:Y75,21,FALSE)-20)</f>
        <v>0</v>
      </c>
      <c r="BH114" s="1162">
        <f>IF(1*ISERROR(VLOOKUP(Z114,G66:Y75,19,FALSE)-20)=1,0,VLOOKUP(Z114,G66:Y75,19,FALSE)-20)</f>
        <v>0</v>
      </c>
      <c r="BI114" s="1162">
        <f>IF(1*ISERROR(VLOOKUP(Z114,I66:Y75,17,FALSE)-20)=1,0,VLOOKUP(Z114,I66:Y75,17,FALSE)-20)</f>
        <v>0</v>
      </c>
      <c r="BJ114" s="1162">
        <f>IF(1*ISERROR(VLOOKUP(Z114,K66:Y75,15,FALSE)-20)=1,0,VLOOKUP(Z114,K66:Y75,15,FALSE)-20)</f>
        <v>0</v>
      </c>
      <c r="BK114" s="1162">
        <f>IF(1*ISERROR(VLOOKUP(Z114,M66:Y75,13,FALSE)-20)=1,0,VLOOKUP(Z114,M66:Y75,13,FALSE)-20)</f>
        <v>0</v>
      </c>
      <c r="BL114" s="1162">
        <f>IF(1*ISERROR(VLOOKUP(Z114,O66:Y75,11,FALSE)-20)=1,0,VLOOKUP(Z114,O66:Y75,11,FALSE)-20)</f>
        <v>0</v>
      </c>
      <c r="BM114" s="1162">
        <f>IF(1*ISERROR(VLOOKUP(Z114,Q66:Y75,9,FALSE)-20)=1,0,VLOOKUP(Z114,Q66:Y75,9,FALSE)-20)</f>
        <v>0</v>
      </c>
      <c r="BN114" s="1162">
        <f>IF(1*ISERROR(VLOOKUP(Z114,S66:Y75,7,FALSE)-20)=1,0,VLOOKUP(Z114,S66:Y75,7,FALSE)-20)</f>
        <v>0</v>
      </c>
      <c r="BO114" s="1162">
        <f>IF(1*ISERROR(VLOOKUP(Z114,U66:Y75,5,FALSE)-20)=1,0,VLOOKUP(Z114,U66:Y75,5,FALSE)-20)</f>
        <v>0</v>
      </c>
      <c r="BP114" s="1162">
        <f t="shared" si="20"/>
        <v>0</v>
      </c>
      <c r="BQ114" s="1162">
        <f t="shared" si="12"/>
        <v>0</v>
      </c>
      <c r="BR114" s="1162">
        <f>IF(BQ114=0,35,_xlfn.RANK.EQ(BQ114,BQ98:BQ132))</f>
        <v>35</v>
      </c>
      <c r="BS114" s="1162">
        <f>IF(BR114=35,35,BR114+COUNTIF(BR$98:BR113,BR114)/COUNTIF(BR$98:BR$132,BR114))</f>
        <v>35</v>
      </c>
      <c r="BT114" s="1162">
        <f t="shared" si="13"/>
        <v>13</v>
      </c>
      <c r="BU114" s="1162" t="s">
        <v>410</v>
      </c>
      <c r="BV114" s="1162">
        <f>IF(1*ISERROR(VLOOKUP(Z114,C76:Y85,23,FALSE)-30)=1,0,VLOOKUP(Z114,C76:Y85,23,FALSE)-30)</f>
        <v>0</v>
      </c>
      <c r="BW114" s="1162">
        <f>IF(1*ISERROR(VLOOKUP(Z114,E76:Y85,21,FALSE)-30)=1,0,VLOOKUP(Z114,E76:Y85,21,FALSE)-30)</f>
        <v>0</v>
      </c>
      <c r="BX114" s="1162">
        <f>IF(1*ISERROR(VLOOKUP(Z114,G76:Y85,19,FALSE)-30)=1,0,VLOOKUP(Z114,G76:Y85,19,FALSE)-30)</f>
        <v>0</v>
      </c>
      <c r="BY114" s="1162">
        <f>IF(1*ISERROR(VLOOKUP(Z114,I76:Y85,17,FALSE)-30)=1,0,VLOOKUP(Z114,I76:Y85,17,FALSE)-30)</f>
        <v>0</v>
      </c>
      <c r="BZ114" s="1162">
        <f>IF(1*ISERROR(VLOOKUP(Z114,K76:Y85,15,FALSE)-30)=1,0,VLOOKUP(Z114,K76:Y85,15,FALSE)-30)</f>
        <v>0</v>
      </c>
      <c r="CA114" s="1162">
        <f>IF(1*ISERROR(VLOOKUP(Z114,M76:Y85,13,FALSE)-30)=1,0,VLOOKUP(Z114,M76:Y85,13,FALSE)-30)</f>
        <v>0</v>
      </c>
      <c r="CB114" s="1162">
        <f>IF(1*ISERROR(VLOOKUP(Z114,O76:Y85,11,FALSE)-30)=1,0,VLOOKUP(Z114,O76:Y85,11,FALSE)-30)</f>
        <v>0</v>
      </c>
      <c r="CC114" s="1162">
        <f>IF(1*ISERROR(VLOOKUP(Z114,Q76:Y85,9,FALSE)-30)=1,0,VLOOKUP(Z114,Q76:Y85,9,FALSE)-30)</f>
        <v>0</v>
      </c>
      <c r="CD114" s="1162">
        <f>IF(1*ISERROR(VLOOKUP(Z114,S76:Y85,7,FALSE)-30)=1,0,VLOOKUP(Z114,S76:Y85,7,FALSE)-30)</f>
        <v>0</v>
      </c>
      <c r="CE114" s="1162">
        <f>IF(1*ISERROR(VLOOKUP(Z114,U76:Y85,5,FALSE)-30)=1,0,VLOOKUP(Z114,U76:Y85,5,FALSE)-30)</f>
        <v>0</v>
      </c>
      <c r="CF114" s="1163">
        <f t="shared" si="21"/>
        <v>0</v>
      </c>
      <c r="CG114" s="1162">
        <f t="shared" si="14"/>
        <v>0</v>
      </c>
      <c r="CH114" s="1162">
        <f t="shared" si="15"/>
        <v>35</v>
      </c>
      <c r="CI114" s="1162">
        <f>IF(CH114=35,35,CH114+COUNTIF(CH$98:CH113,CH114)/COUNTIF(CH$98:CH$132,CH114))</f>
        <v>35</v>
      </c>
      <c r="CJ114" s="1162">
        <f t="shared" si="16"/>
        <v>20</v>
      </c>
      <c r="CK114" s="1162" t="s">
        <v>410</v>
      </c>
      <c r="CL114" s="1162">
        <f>IF(1*ISERROR(VLOOKUP(Z114,C86:Y95,23,FALSE)-40)=1,0,VLOOKUP(Z114,C86:Y95,23,FALSE)-40)</f>
        <v>0</v>
      </c>
      <c r="CM114" s="1162">
        <f>IF(1*ISERROR(VLOOKUP(Z114,E86:Y95,21,FALSE)-40)=1,0,VLOOKUP(Z114,E86:Y95,21,FALSE)-40)</f>
        <v>0</v>
      </c>
      <c r="CN114" s="1162">
        <f>IF(1*ISERROR(VLOOKUP(Z114,G86:Y95,19,FALSE)-40)=1,0,VLOOKUP(Z114,G86:Y95,19,FALSE)-40)</f>
        <v>0</v>
      </c>
      <c r="CO114" s="1162">
        <f>IF(1*ISERROR(VLOOKUP(Z114,I86:Y95,17,FALSE)-40)=1,0,VLOOKUP(Z114,I86:Y95,17,FALSE)-40)</f>
        <v>0</v>
      </c>
      <c r="CP114" s="1162">
        <f>IF(1*ISERROR(VLOOKUP(Z114,K86:Y95,15,FALSE)-40)=1,0,VLOOKUP(Z114,K86:Y95,15,FALSE)-40)</f>
        <v>0</v>
      </c>
      <c r="CQ114" s="1162">
        <f>IF(1*ISERROR(VLOOKUP(Z114,M86:Y95,13,FALSE)-40)=1,0,VLOOKUP(Z114,M86:Y95,13,FALSE)-40)</f>
        <v>0</v>
      </c>
      <c r="CR114" s="1162">
        <f>IF(1*ISERROR(VLOOKUP(Z114,O86:Y95,11,FALSE)-40)=1,0,VLOOKUP(Z114,O86:Y95,11,FALSE)-40)</f>
        <v>0</v>
      </c>
      <c r="CS114" s="1162">
        <f>IF(1*ISERROR(VLOOKUP(Z114,Q86:Y95,9,FALSE)-40)=1,0,VLOOKUP(Z114,Q86:Y95,9,FALSE)-40)</f>
        <v>0</v>
      </c>
      <c r="CT114" s="1162">
        <f>IF(1*ISERROR(VLOOKUP(Z114,S86:Y95,7,FALSE)-40)=1,0,VLOOKUP(Z114,S86:Y95,7,FALSE)-40)</f>
        <v>0</v>
      </c>
      <c r="CU114" s="1162">
        <f>IF(1*ISERROR(VLOOKUP(Z114,U86:Y95,5,FALSE)-40)=1,0,VLOOKUP(Z114,U86:Y95,5,FALSE)-40)</f>
        <v>0</v>
      </c>
      <c r="CV114" s="1162">
        <v>0</v>
      </c>
      <c r="CW114" s="1162">
        <f t="shared" si="17"/>
        <v>0</v>
      </c>
      <c r="CX114" s="1162">
        <f>IF(CW114=0,35,_xlfn.RANK.EQ(CW114,CW98:CW132))</f>
        <v>35</v>
      </c>
      <c r="CY114" s="1162">
        <f>IF(CX114=35,35,CX114+COUNTIF(CX$98:CX113,CX114)/COUNTIF(CX$98:CX$132,CX114))</f>
        <v>35</v>
      </c>
      <c r="CZ114" s="1162">
        <f t="shared" si="18"/>
        <v>13</v>
      </c>
      <c r="DA114" s="1162" t="s">
        <v>410</v>
      </c>
      <c r="DB114" s="834"/>
      <c r="DC114" s="834"/>
      <c r="DD114" s="839"/>
      <c r="DE114" s="1098"/>
      <c r="DF114" s="1098"/>
      <c r="DG114" s="1098"/>
      <c r="DH114" s="1098"/>
      <c r="DI114" s="1098"/>
      <c r="DJ114" s="1098"/>
      <c r="DK114" s="1098"/>
      <c r="DL114" s="1098"/>
      <c r="DM114" s="1098"/>
      <c r="DN114" s="1098"/>
      <c r="DO114" s="1098"/>
    </row>
    <row r="115" spans="25:119" s="1086" customFormat="1">
      <c r="Y115" s="1113">
        <f t="shared" si="7"/>
        <v>18</v>
      </c>
      <c r="Z115" s="1162" t="s">
        <v>396</v>
      </c>
      <c r="AA115" s="1162">
        <f>IF(1*ISERROR(VLOOKUP(Z115,C46:Y55,23,FALSE))=1,0,VLOOKUP(Z115,C46:Y55,23,FALSE))</f>
        <v>0</v>
      </c>
      <c r="AB115" s="1162">
        <f>IF(1*ISERROR(VLOOKUP(Z115,E46:Y55,21,FALSE))=1,0,VLOOKUP(Z115,E46:Y55,21,FALSE))</f>
        <v>0</v>
      </c>
      <c r="AC115" s="1162">
        <f>IF(1*ISERROR(VLOOKUP(Z115,G46:Y55,19,FALSE))=1,0,VLOOKUP(Z115,G46:Y55,19,FALSE))</f>
        <v>0</v>
      </c>
      <c r="AD115" s="1162">
        <f>IF(1*ISERROR(VLOOKUP(Z115,I46:Y55,17,FALSE))=1,0,VLOOKUP(Z115,I46:Y55,17,FALSE))</f>
        <v>0</v>
      </c>
      <c r="AE115" s="1162">
        <f>IF(1*ISERROR(VLOOKUP(Z115,K46:Y55,15,FALSE))=1,0,VLOOKUP(Z115,K46:Y55,15,FALSE))</f>
        <v>0</v>
      </c>
      <c r="AF115" s="1162">
        <f>IF(1*ISERROR(VLOOKUP(Z115,M46:Y55,13,FALSE))=1,0,VLOOKUP(Z115,M46:Y55,13,FALSE))</f>
        <v>0</v>
      </c>
      <c r="AG115" s="1162">
        <f>IF(1*ISERROR(VLOOKUP(Z115,O46:Y55,11,FALSE))=1,0,VLOOKUP(Z115,O46:Y55,11,FALSE))</f>
        <v>0</v>
      </c>
      <c r="AH115" s="1162">
        <f>IF(1*ISERROR(VLOOKUP(Z115,Q46:Y55,9,FALSE))=1,0,VLOOKUP(Z115,Q46:Y55,9,FALSE))</f>
        <v>0</v>
      </c>
      <c r="AI115" s="1162">
        <f>IF(1*ISERROR(VLOOKUP(Z115,S46:Y55,7,FALSE))=1,0,VLOOKUP(Z115,S46:Y55,7,FALSE))</f>
        <v>0</v>
      </c>
      <c r="AJ115" s="1162">
        <f>IF(1*ISERROR(VLOOKUP(Z115,U46:Y55,5,FALSE))=1,0,VLOOKUP(Z115,U46:Y55,5,FALSE))</f>
        <v>0</v>
      </c>
      <c r="AK115" s="1162">
        <f t="shared" ref="AK115:AK125" si="22">IF(1*ISERROR(VLOOKUP(Z115,U51:Z63,5,FALSE))=1,0,VLOOKUP(Z115,U51:Z63,5,FALSE))</f>
        <v>0</v>
      </c>
      <c r="AL115" s="1162">
        <f t="shared" si="8"/>
        <v>0</v>
      </c>
      <c r="AM115" s="1162">
        <f>IF(AL115=0,35,_xlfn.RANK.EQ(AL115,AL98:AL132))</f>
        <v>35</v>
      </c>
      <c r="AN115" s="1162">
        <f>IF(AM115=35,35,AM115+COUNTIF(AM$98:AM114,AM115)/COUNTIF(AM$98:AM$132,AM115))</f>
        <v>35</v>
      </c>
      <c r="AO115" s="1162">
        <f t="shared" si="9"/>
        <v>13</v>
      </c>
      <c r="AP115" s="1162" t="s">
        <v>396</v>
      </c>
      <c r="AQ115" s="1162">
        <f>IF(1*ISERROR(VLOOKUP(Z115,C56:Y65,23,FALSE)-10)=1,0,VLOOKUP(Z115,C56:Y65,23,FALSE)-10)</f>
        <v>0</v>
      </c>
      <c r="AR115" s="1162">
        <f>IF(1*ISERROR(VLOOKUP(Z115,E56:Y65,21,FALSE)-10)=1,0,VLOOKUP(Z115,E56:Y65,21,FALSE)-10)</f>
        <v>0</v>
      </c>
      <c r="AS115" s="1162">
        <f>IF(1*ISERROR(VLOOKUP(Z115,G56:Y65,19,FALSE)-10)=1,0,VLOOKUP(Z115,G56:Y65,19,FALSE)-10)</f>
        <v>0</v>
      </c>
      <c r="AT115" s="1162">
        <f>IF(1*ISERROR(VLOOKUP(Z115,I56:Y65,17,FALSE)-10)=1,0,VLOOKUP(Z115,I56:Y65,17,FALSE)-10)</f>
        <v>0</v>
      </c>
      <c r="AU115" s="1162">
        <f>IF(1*ISERROR(VLOOKUP(Z115,K56:Y65,15,FALSE)-10)=1,0,VLOOKUP(Z115,K56:Y65,15,FALSE)-10)</f>
        <v>0</v>
      </c>
      <c r="AV115" s="1162">
        <f>IF(1*ISERROR(VLOOKUP(Z115,M56:Y65,13,FALSE)-10)=1,0,VLOOKUP(Z115,M56:Y65,13,FALSE)-10)</f>
        <v>0</v>
      </c>
      <c r="AW115" s="1162">
        <f>IF(1*ISERROR(VLOOKUP(Z115,O56:Y65,11,FALSE)-10)=1,0,VLOOKUP(Z115,O56:Y65,11,FALSE)-10)</f>
        <v>0</v>
      </c>
      <c r="AX115" s="1162">
        <f>IF(1*ISERROR(VLOOKUP(Z115,Q56:Y65,9,FALSE)-10)=1,0,VLOOKUP(Z115,Q56:Y65,9,FALSE)-10)</f>
        <v>0</v>
      </c>
      <c r="AY115" s="1162">
        <f>IF(1*ISERROR(VLOOKUP(Z115,S56:Y65,7,FALSE)-10)=1,0,VLOOKUP(Z115,S56:Y65,7,FALSE)-10)</f>
        <v>0</v>
      </c>
      <c r="AZ115" s="1163">
        <f>IF(1*ISERROR(VLOOKUP(Z115,U56:Y65,5,FALSE)-10)=1,0,VLOOKUP(Z115,U56:Y65,5,FALSE)-10)</f>
        <v>0</v>
      </c>
      <c r="BA115" s="1162">
        <f t="shared" si="10"/>
        <v>0</v>
      </c>
      <c r="BB115" s="1162">
        <f>IF(BA115=0,35,_xlfn.RANK.EQ(BA115,BA98:BA132))</f>
        <v>35</v>
      </c>
      <c r="BC115" s="1162">
        <f>IF(BB115=35,35,BB115+COUNTIF(BB$98:BB114,BB115)/COUNTIF(BB$98:BB$132,BB115))</f>
        <v>35</v>
      </c>
      <c r="BD115" s="1162">
        <f t="shared" si="11"/>
        <v>13</v>
      </c>
      <c r="BE115" s="1162" t="s">
        <v>396</v>
      </c>
      <c r="BF115" s="1162">
        <f>IF(1*ISERROR(VLOOKUP(Z115,C66:Y75,23,FALSE)-20)=1,0,VLOOKUP(Z115,C66:Y75,23,FALSE)-20)</f>
        <v>0</v>
      </c>
      <c r="BG115" s="1162">
        <f>IF(1*ISERROR(VLOOKUP(Z115,E66:Y75,21,FALSE)-20)=1,0,VLOOKUP(Z115,E66:Y75,21,FALSE)-20)</f>
        <v>0</v>
      </c>
      <c r="BH115" s="1162">
        <f>IF(1*ISERROR(VLOOKUP(Z115,G66:Y75,19,FALSE)-20)=1,0,VLOOKUP(Z115,G66:Y75,19,FALSE)-20)</f>
        <v>0</v>
      </c>
      <c r="BI115" s="1162">
        <f>IF(1*ISERROR(VLOOKUP(Z115,I66:Y75,17,FALSE)-20)=1,0,VLOOKUP(Z115,I66:Y75,17,FALSE)-20)</f>
        <v>0</v>
      </c>
      <c r="BJ115" s="1162">
        <f>IF(1*ISERROR(VLOOKUP(Z115,K66:Y75,15,FALSE)-20)=1,0,VLOOKUP(Z115,K66:Y75,15,FALSE)-20)</f>
        <v>0</v>
      </c>
      <c r="BK115" s="1162">
        <f>IF(1*ISERROR(VLOOKUP(Z115,M66:Y75,13,FALSE)-20)=1,0,VLOOKUP(Z115,M66:Y75,13,FALSE)-20)</f>
        <v>0</v>
      </c>
      <c r="BL115" s="1162">
        <f>IF(1*ISERROR(VLOOKUP(Z115,O66:Y75,11,FALSE)-20)=1,0,VLOOKUP(Z115,O66:Y75,11,FALSE)-20)</f>
        <v>0</v>
      </c>
      <c r="BM115" s="1162">
        <f>IF(1*ISERROR(VLOOKUP(Z115,Q66:Y75,9,FALSE)-20)=1,0,VLOOKUP(Z115,Q66:Y75,9,FALSE)-20)</f>
        <v>0</v>
      </c>
      <c r="BN115" s="1162">
        <f>IF(1*ISERROR(VLOOKUP(Z115,S66:Y75,7,FALSE)-20)=1,0,VLOOKUP(Z115,S66:Y75,7,FALSE)-20)</f>
        <v>0</v>
      </c>
      <c r="BO115" s="1162">
        <f>IF(1*ISERROR(VLOOKUP(Z115,U66:Y75,5,FALSE)-20)=1,0,VLOOKUP(Z115,U66:Y75,5,FALSE)-20)</f>
        <v>0</v>
      </c>
      <c r="BP115" s="1162">
        <f t="shared" si="20"/>
        <v>0</v>
      </c>
      <c r="BQ115" s="1162">
        <f t="shared" si="12"/>
        <v>0</v>
      </c>
      <c r="BR115" s="1162">
        <f>IF(BQ115=0,35,_xlfn.RANK.EQ(BQ115,BQ98:BQ132))</f>
        <v>35</v>
      </c>
      <c r="BS115" s="1162">
        <f>IF(BR115=35,35,BR115+COUNTIF(BR$98:BR114,BR115)/COUNTIF(BR$98:BR$132,BR115))</f>
        <v>35</v>
      </c>
      <c r="BT115" s="1162">
        <f t="shared" si="13"/>
        <v>13</v>
      </c>
      <c r="BU115" s="1162" t="s">
        <v>396</v>
      </c>
      <c r="BV115" s="1162">
        <f>IF(1*ISERROR(VLOOKUP(Z115,C76:Y85,23,FALSE)-30)=1,0,VLOOKUP(Z115,C76:Y85,23,FALSE)-30)</f>
        <v>10</v>
      </c>
      <c r="BW115" s="1162">
        <f>IF(1*ISERROR(VLOOKUP(Z115,E76:Y85,21,FALSE)-30)=1,0,VLOOKUP(Z115,E76:Y85,21,FALSE)-30)</f>
        <v>7</v>
      </c>
      <c r="BX115" s="1162">
        <f>IF(1*ISERROR(VLOOKUP(Z115,G76:Y85,19,FALSE)-30)=1,0,VLOOKUP(Z115,G76:Y85,19,FALSE)-30)</f>
        <v>4</v>
      </c>
      <c r="BY115" s="1162">
        <f>IF(1*ISERROR(VLOOKUP(Z115,I76:Y85,17,FALSE)-30)=1,0,VLOOKUP(Z115,I76:Y85,17,FALSE)-30)</f>
        <v>5</v>
      </c>
      <c r="BZ115" s="1162">
        <f>IF(1*ISERROR(VLOOKUP(Z115,K76:Y85,15,FALSE)-30)=1,0,VLOOKUP(Z115,K76:Y85,15,FALSE)-30)</f>
        <v>5</v>
      </c>
      <c r="CA115" s="1162">
        <f>IF(1*ISERROR(VLOOKUP(Z115,M76:Y85,13,FALSE)-30)=1,0,VLOOKUP(Z115,M76:Y85,13,FALSE)-30)</f>
        <v>8</v>
      </c>
      <c r="CB115" s="1162">
        <f>IF(1*ISERROR(VLOOKUP(Z115,O76:Y85,11,FALSE)-30)=1,0,VLOOKUP(Z115,O76:Y85,11,FALSE)-30)</f>
        <v>8</v>
      </c>
      <c r="CC115" s="1162">
        <f>IF(1*ISERROR(VLOOKUP(Z115,Q76:Y85,9,FALSE)-30)=1,0,VLOOKUP(Z115,Q76:Y85,9,FALSE)-30)</f>
        <v>0</v>
      </c>
      <c r="CD115" s="1162">
        <f>IF(1*ISERROR(VLOOKUP(Z115,S76:Y85,7,FALSE)-30)=1,0,VLOOKUP(Z115,S76:Y85,7,FALSE)-30)</f>
        <v>0</v>
      </c>
      <c r="CE115" s="1162">
        <f>IF(1*ISERROR(VLOOKUP(Z115,U76:Y85,5,FALSE)-30)=1,0,VLOOKUP(Z115,U76:Y85,5,FALSE)-30)</f>
        <v>0</v>
      </c>
      <c r="CF115" s="1163">
        <f t="shared" si="21"/>
        <v>0</v>
      </c>
      <c r="CG115" s="1162">
        <f t="shared" si="14"/>
        <v>47</v>
      </c>
      <c r="CH115" s="1162">
        <f t="shared" si="15"/>
        <v>6</v>
      </c>
      <c r="CI115" s="1162">
        <f>IF(CH115=35,35,CH115+COUNTIF(CH$98:CH114,CH115)/COUNTIF(CH$98:CH$132,CH115))</f>
        <v>6</v>
      </c>
      <c r="CJ115" s="1162">
        <f t="shared" si="16"/>
        <v>6</v>
      </c>
      <c r="CK115" s="1162" t="s">
        <v>396</v>
      </c>
      <c r="CL115" s="1162">
        <f>IF(1*ISERROR(VLOOKUP(Z115,C86:Y95,23,FALSE)-40)=1,0,VLOOKUP(Z115,C86:Y95,23,FALSE)-40)</f>
        <v>0</v>
      </c>
      <c r="CM115" s="1162">
        <f>IF(1*ISERROR(VLOOKUP(Z115,E86:Y95,21,FALSE)-40)=1,0,VLOOKUP(Z115,E86:Y95,21,FALSE)-40)</f>
        <v>0</v>
      </c>
      <c r="CN115" s="1162">
        <f>IF(1*ISERROR(VLOOKUP(Z115,G86:Y95,19,FALSE)-40)=1,0,VLOOKUP(Z115,G86:Y95,19,FALSE)-40)</f>
        <v>0</v>
      </c>
      <c r="CO115" s="1162">
        <f>IF(1*ISERROR(VLOOKUP(Z115,I86:Y95,17,FALSE)-40)=1,0,VLOOKUP(Z115,I86:Y95,17,FALSE)-40)</f>
        <v>0</v>
      </c>
      <c r="CP115" s="1162">
        <f>IF(1*ISERROR(VLOOKUP(Z115,K86:Y95,15,FALSE)-40)=1,0,VLOOKUP(Z115,K86:Y95,15,FALSE)-40)</f>
        <v>0</v>
      </c>
      <c r="CQ115" s="1162">
        <f>IF(1*ISERROR(VLOOKUP(Z115,M86:Y95,13,FALSE)-40)=1,0,VLOOKUP(Z115,M86:Y95,13,FALSE)-40)</f>
        <v>0</v>
      </c>
      <c r="CR115" s="1162">
        <f>IF(1*ISERROR(VLOOKUP(Z115,O86:Y95,11,FALSE)-40)=1,0,VLOOKUP(Z115,O86:Y95,11,FALSE)-40)</f>
        <v>0</v>
      </c>
      <c r="CS115" s="1162">
        <f>IF(1*ISERROR(VLOOKUP(Z115,Q86:Y95,9,FALSE)-40)=1,0,VLOOKUP(Z115,Q86:Y95,9,FALSE)-40)</f>
        <v>0</v>
      </c>
      <c r="CT115" s="1162">
        <f>IF(1*ISERROR(VLOOKUP(Z115,S86:Y95,7,FALSE)-40)=1,0,VLOOKUP(Z115,S86:Y95,7,FALSE)-40)</f>
        <v>0</v>
      </c>
      <c r="CU115" s="1162">
        <f>IF(1*ISERROR(VLOOKUP(Z115,U86:Y95,5,FALSE)-40)=1,0,VLOOKUP(Z115,U86:Y95,5,FALSE)-40)</f>
        <v>0</v>
      </c>
      <c r="CV115" s="1162">
        <v>0</v>
      </c>
      <c r="CW115" s="1162">
        <f t="shared" si="17"/>
        <v>0</v>
      </c>
      <c r="CX115" s="1162">
        <f>IF(CW115=0,35,_xlfn.RANK.EQ(CW115,CW98:CW132))</f>
        <v>35</v>
      </c>
      <c r="CY115" s="1162">
        <f>IF(CX115=35,35,CX115+COUNTIF(CX$98:CX114,CX115)/COUNTIF(CX$98:CX$132,CX115))</f>
        <v>35</v>
      </c>
      <c r="CZ115" s="1162">
        <f t="shared" si="18"/>
        <v>13</v>
      </c>
      <c r="DA115" s="1162" t="s">
        <v>396</v>
      </c>
      <c r="DB115" s="834"/>
      <c r="DC115" s="834"/>
      <c r="DD115" s="839"/>
      <c r="DE115" s="1098"/>
      <c r="DF115" s="1098"/>
      <c r="DG115" s="1098"/>
      <c r="DH115" s="1098"/>
      <c r="DI115" s="1098"/>
      <c r="DJ115" s="1098"/>
      <c r="DK115" s="1098"/>
      <c r="DL115" s="1098"/>
      <c r="DM115" s="1098"/>
      <c r="DN115" s="1098"/>
      <c r="DO115" s="1098"/>
    </row>
    <row r="116" spans="25:119" s="1086" customFormat="1">
      <c r="Y116" s="1113">
        <f t="shared" si="7"/>
        <v>19</v>
      </c>
      <c r="Z116" s="1162" t="s">
        <v>400</v>
      </c>
      <c r="AA116" s="1162">
        <f>IF(1*ISERROR(VLOOKUP(Z116,C46:Y55,23,FALSE))=1,0,VLOOKUP(Z116,C46:Y55,23,FALSE))</f>
        <v>0</v>
      </c>
      <c r="AB116" s="1162">
        <f>IF(1*ISERROR(VLOOKUP(Z116,E46:Y55,21,FALSE))=1,0,VLOOKUP(Z116,E46:Y55,21,FALSE))</f>
        <v>0</v>
      </c>
      <c r="AC116" s="1162">
        <f>IF(1*ISERROR(VLOOKUP(Z116,G46:Y55,19,FALSE))=1,0,VLOOKUP(Z116,G46:Y55,19,FALSE))</f>
        <v>0</v>
      </c>
      <c r="AD116" s="1162">
        <f>IF(1*ISERROR(VLOOKUP(Z116,I46:Y55,17,FALSE))=1,0,VLOOKUP(Z116,I46:Y55,17,FALSE))</f>
        <v>0</v>
      </c>
      <c r="AE116" s="1162">
        <f>IF(1*ISERROR(VLOOKUP(Z116,K46:Y55,15,FALSE))=1,0,VLOOKUP(Z116,K46:Y55,15,FALSE))</f>
        <v>0</v>
      </c>
      <c r="AF116" s="1162">
        <f>IF(1*ISERROR(VLOOKUP(Z116,M46:Y55,13,FALSE))=1,0,VLOOKUP(Z116,M46:Y55,13,FALSE))</f>
        <v>0</v>
      </c>
      <c r="AG116" s="1162">
        <f>IF(1*ISERROR(VLOOKUP(Z116,O46:Y55,11,FALSE))=1,0,VLOOKUP(Z116,O46:Y55,11,FALSE))</f>
        <v>0</v>
      </c>
      <c r="AH116" s="1162">
        <f>IF(1*ISERROR(VLOOKUP(Z116,Q46:Y55,9,FALSE))=1,0,VLOOKUP(Z116,Q46:Y55,9,FALSE))</f>
        <v>0</v>
      </c>
      <c r="AI116" s="1162">
        <f>IF(1*ISERROR(VLOOKUP(Z116,S46:Y55,7,FALSE))=1,0,VLOOKUP(Z116,S46:Y55,7,FALSE))</f>
        <v>0</v>
      </c>
      <c r="AJ116" s="1162">
        <f>IF(1*ISERROR(VLOOKUP(Z116,U46:Y55,5,FALSE))=1,0,VLOOKUP(Z116,U46:Y55,5,FALSE))</f>
        <v>0</v>
      </c>
      <c r="AK116" s="1162">
        <f t="shared" si="22"/>
        <v>0</v>
      </c>
      <c r="AL116" s="1162">
        <f t="shared" si="8"/>
        <v>0</v>
      </c>
      <c r="AM116" s="1162">
        <f>IF(AL116=0,35,_xlfn.RANK.EQ(AL116,AL98:AL132))</f>
        <v>35</v>
      </c>
      <c r="AN116" s="1162">
        <f>IF(AM116=35,35,AM116+COUNTIF(AM$98:AM115,AM116)/COUNTIF(AM$98:AM$132,AM116))</f>
        <v>35</v>
      </c>
      <c r="AO116" s="1162">
        <f t="shared" si="9"/>
        <v>13</v>
      </c>
      <c r="AP116" s="1162" t="s">
        <v>400</v>
      </c>
      <c r="AQ116" s="1162">
        <f>IF(1*ISERROR(VLOOKUP(Z116,C56:Y65,23,FALSE)-10)=1,0,VLOOKUP(Z116,C56:Y65,23,FALSE)-10)</f>
        <v>0</v>
      </c>
      <c r="AR116" s="1162">
        <f>IF(1*ISERROR(VLOOKUP(Z116,E56:Y65,21,FALSE)-10)=1,0,VLOOKUP(Z116,E56:Y65,21,FALSE)-10)</f>
        <v>0</v>
      </c>
      <c r="AS116" s="1162">
        <f>IF(1*ISERROR(VLOOKUP(Z116,G56:Y65,19,FALSE)-10)=1,0,VLOOKUP(Z116,G56:Y65,19,FALSE)-10)</f>
        <v>0</v>
      </c>
      <c r="AT116" s="1162">
        <f>IF(1*ISERROR(VLOOKUP(Z116,I56:Y65,17,FALSE)-10)=1,0,VLOOKUP(Z116,I56:Y65,17,FALSE)-10)</f>
        <v>0</v>
      </c>
      <c r="AU116" s="1162">
        <f>IF(1*ISERROR(VLOOKUP(Z116,K56:Y65,15,FALSE)-10)=1,0,VLOOKUP(Z116,K56:Y65,15,FALSE)-10)</f>
        <v>0</v>
      </c>
      <c r="AV116" s="1162">
        <f>IF(1*ISERROR(VLOOKUP(Z116,M56:Y65,13,FALSE)-10)=1,0,VLOOKUP(Z116,M56:Y65,13,FALSE)-10)</f>
        <v>0</v>
      </c>
      <c r="AW116" s="1162">
        <f>IF(1*ISERROR(VLOOKUP(Z116,O56:Y65,11,FALSE)-10)=1,0,VLOOKUP(Z116,O56:Y65,11,FALSE)-10)</f>
        <v>0</v>
      </c>
      <c r="AX116" s="1162">
        <f>IF(1*ISERROR(VLOOKUP(Z116,Q56:Y65,9,FALSE)-10)=1,0,VLOOKUP(Z116,Q56:Y65,9,FALSE)-10)</f>
        <v>0</v>
      </c>
      <c r="AY116" s="1162">
        <f>IF(1*ISERROR(VLOOKUP(Z116,S56:Y65,7,FALSE)-10)=1,0,VLOOKUP(Z116,S56:Y65,7,FALSE)-10)</f>
        <v>0</v>
      </c>
      <c r="AZ116" s="1163">
        <f>IF(1*ISERROR(VLOOKUP(Z116,U56:Y65,5,FALSE)-10)=1,0,VLOOKUP(Z116,U56:Y65,5,FALSE)-10)</f>
        <v>0</v>
      </c>
      <c r="BA116" s="1162">
        <f t="shared" si="10"/>
        <v>0</v>
      </c>
      <c r="BB116" s="1162">
        <f>IF(BA116=0,35,_xlfn.RANK.EQ(BA116,BA98:BA132))</f>
        <v>35</v>
      </c>
      <c r="BC116" s="1162">
        <f>IF(BB116=35,35,BB116+COUNTIF(BB$98:BB115,BB116)/COUNTIF(BB$98:BB$132,BB116))</f>
        <v>35</v>
      </c>
      <c r="BD116" s="1162">
        <f t="shared" si="11"/>
        <v>13</v>
      </c>
      <c r="BE116" s="1162" t="s">
        <v>400</v>
      </c>
      <c r="BF116" s="1162">
        <f>IF(1*ISERROR(VLOOKUP(Z116,C66:Y75,23,FALSE)-20)=1,0,VLOOKUP(Z116,C66:Y75,23,FALSE)-20)</f>
        <v>0</v>
      </c>
      <c r="BG116" s="1162">
        <f>IF(1*ISERROR(VLOOKUP(Z116,E66:Y75,21,FALSE)-20)=1,0,VLOOKUP(Z116,E66:Y75,21,FALSE)-20)</f>
        <v>0</v>
      </c>
      <c r="BH116" s="1162">
        <f>IF(1*ISERROR(VLOOKUP(Z116,G66:Y75,19,FALSE)-20)=1,0,VLOOKUP(Z116,G66:Y75,19,FALSE)-20)</f>
        <v>0</v>
      </c>
      <c r="BI116" s="1162">
        <f>IF(1*ISERROR(VLOOKUP(Z116,I66:Y75,17,FALSE)-20)=1,0,VLOOKUP(Z116,I66:Y75,17,FALSE)-20)</f>
        <v>0</v>
      </c>
      <c r="BJ116" s="1162">
        <f>IF(1*ISERROR(VLOOKUP(Z116,K66:Y75,15,FALSE)-20)=1,0,VLOOKUP(Z116,K66:Y75,15,FALSE)-20)</f>
        <v>0</v>
      </c>
      <c r="BK116" s="1162">
        <f>IF(1*ISERROR(VLOOKUP(Z116,M66:Y75,13,FALSE)-20)=1,0,VLOOKUP(Z116,M66:Y75,13,FALSE)-20)</f>
        <v>0</v>
      </c>
      <c r="BL116" s="1162">
        <f>IF(1*ISERROR(VLOOKUP(Z116,O66:Y75,11,FALSE)-20)=1,0,VLOOKUP(Z116,O66:Y75,11,FALSE)-20)</f>
        <v>0</v>
      </c>
      <c r="BM116" s="1162">
        <f>IF(1*ISERROR(VLOOKUP(Z116,Q66:Y75,9,FALSE)-20)=1,0,VLOOKUP(Z116,Q66:Y75,9,FALSE)-20)</f>
        <v>0</v>
      </c>
      <c r="BN116" s="1162">
        <f>IF(1*ISERROR(VLOOKUP(Z116,S66:Y75,7,FALSE)-20)=1,0,VLOOKUP(Z116,S66:Y75,7,FALSE)-20)</f>
        <v>0</v>
      </c>
      <c r="BO116" s="1162">
        <f>IF(1*ISERROR(VLOOKUP(Z116,U66:Y75,5,FALSE)-20)=1,0,VLOOKUP(Z116,U66:Y75,5,FALSE)-20)</f>
        <v>0</v>
      </c>
      <c r="BP116" s="1162">
        <v>0</v>
      </c>
      <c r="BQ116" s="1162">
        <f t="shared" si="12"/>
        <v>0</v>
      </c>
      <c r="BR116" s="1162">
        <f>IF(BQ116=0,35,_xlfn.RANK.EQ(BQ116,BQ98:BQ132))</f>
        <v>35</v>
      </c>
      <c r="BS116" s="1162">
        <f>IF(BR116=35,35,BR116+COUNTIF(BR$98:BR115,BR116)/COUNTIF(BR$98:BR$132,BR116))</f>
        <v>35</v>
      </c>
      <c r="BT116" s="1162">
        <f t="shared" si="13"/>
        <v>13</v>
      </c>
      <c r="BU116" s="1162" t="s">
        <v>400</v>
      </c>
      <c r="BV116" s="1162">
        <f>IF(1*ISERROR(VLOOKUP(Z116,C76:Y85,23,FALSE)-30)=1,0,VLOOKUP(Z116,C76:Y85,23,FALSE)-30)</f>
        <v>9</v>
      </c>
      <c r="BW116" s="1162">
        <f>IF(1*ISERROR(VLOOKUP(Z116,E76:Y85,21,FALSE)-30)=1,0,VLOOKUP(Z116,E76:Y85,21,FALSE)-30)</f>
        <v>6</v>
      </c>
      <c r="BX116" s="1162">
        <f>IF(1*ISERROR(VLOOKUP(Z116,G76:Y85,19,FALSE)-30)=1,0,VLOOKUP(Z116,G76:Y85,19,FALSE)-30)</f>
        <v>6</v>
      </c>
      <c r="BY116" s="1162">
        <f>IF(1*ISERROR(VLOOKUP(Z116,I76:Y85,17,FALSE)-30)=1,0,VLOOKUP(Z116,I76:Y85,17,FALSE)-30)</f>
        <v>8</v>
      </c>
      <c r="BZ116" s="1162">
        <f>IF(1*ISERROR(VLOOKUP(Z116,K76:Y85,15,FALSE)-30)=1,0,VLOOKUP(Z116,K76:Y85,15,FALSE)-30)</f>
        <v>0</v>
      </c>
      <c r="CA116" s="1162">
        <f>IF(1*ISERROR(VLOOKUP(Z116,M76:Y85,13,FALSE)-30)=1,0,VLOOKUP(Z116,M76:Y85,13,FALSE)-30)</f>
        <v>7</v>
      </c>
      <c r="CB116" s="1162">
        <f>IF(1*ISERROR(VLOOKUP(Z116,O76:Y85,11,FALSE)-30)=1,0,VLOOKUP(Z116,O76:Y85,11,FALSE)-30)</f>
        <v>7</v>
      </c>
      <c r="CC116" s="1162">
        <f>IF(1*ISERROR(VLOOKUP(Z116,Q76:Y85,9,FALSE)-30)=1,0,VLOOKUP(Z116,Q76:Y85,9,FALSE)-30)</f>
        <v>0</v>
      </c>
      <c r="CD116" s="1162">
        <f>IF(1*ISERROR(VLOOKUP(Z116,S76:Y85,7,FALSE)-30)=1,0,VLOOKUP(Z116,S76:Y85,7,FALSE)-30)</f>
        <v>0</v>
      </c>
      <c r="CE116" s="1162">
        <f>IF(1*ISERROR(VLOOKUP(Z116,U76:Y85,5,FALSE)-30)=1,0,VLOOKUP(Z116,U76:Y85,5,FALSE)-30)</f>
        <v>5</v>
      </c>
      <c r="CF116" s="1163">
        <f t="shared" si="21"/>
        <v>0</v>
      </c>
      <c r="CG116" s="1162">
        <f t="shared" si="14"/>
        <v>48</v>
      </c>
      <c r="CH116" s="1162">
        <f t="shared" si="15"/>
        <v>5</v>
      </c>
      <c r="CI116" s="1162">
        <f>IF(CH116=35,35,CH116+COUNTIF(CH$98:CH115,CH116)/COUNTIF(CH$98:CH$132,CH116))</f>
        <v>5</v>
      </c>
      <c r="CJ116" s="1162">
        <f t="shared" si="16"/>
        <v>5</v>
      </c>
      <c r="CK116" s="1162" t="s">
        <v>400</v>
      </c>
      <c r="CL116" s="1162">
        <f>IF(1*ISERROR(VLOOKUP(Z116,C86:Y95,23,FALSE)-40)=1,0,VLOOKUP(Z116,C86:Y95,23,FALSE)-40)</f>
        <v>0</v>
      </c>
      <c r="CM116" s="1162">
        <f>IF(1*ISERROR(VLOOKUP(Z116,E86:Y95,21,FALSE)-40)=1,0,VLOOKUP(Z116,E86:Y95,21,FALSE)-40)</f>
        <v>0</v>
      </c>
      <c r="CN116" s="1162">
        <f>IF(1*ISERROR(VLOOKUP(Z116,G86:Y95,19,FALSE)-40)=1,0,VLOOKUP(Z116,G86:Y95,19,FALSE)-40)</f>
        <v>0</v>
      </c>
      <c r="CO116" s="1162">
        <f>IF(1*ISERROR(VLOOKUP(Z116,I86:Y95,17,FALSE)-40)=1,0,VLOOKUP(Z116,I86:Y95,17,FALSE)-40)</f>
        <v>0</v>
      </c>
      <c r="CP116" s="1162">
        <f>IF(1*ISERROR(VLOOKUP(Z116,K86:Y95,15,FALSE)-40)=1,0,VLOOKUP(Z116,K86:Y95,15,FALSE)-40)</f>
        <v>0</v>
      </c>
      <c r="CQ116" s="1162">
        <f>IF(1*ISERROR(VLOOKUP(Z116,M86:Y95,13,FALSE)-40)=1,0,VLOOKUP(Z116,M86:Y95,13,FALSE)-40)</f>
        <v>0</v>
      </c>
      <c r="CR116" s="1162">
        <f>IF(1*ISERROR(VLOOKUP(Z116,O86:Y95,11,FALSE)-40)=1,0,VLOOKUP(Z116,O86:Y95,11,FALSE)-40)</f>
        <v>0</v>
      </c>
      <c r="CS116" s="1162">
        <f>IF(1*ISERROR(VLOOKUP(Z116,Q86:Y95,9,FALSE)-40)=1,0,VLOOKUP(Z116,Q86:Y95,9,FALSE)-40)</f>
        <v>0</v>
      </c>
      <c r="CT116" s="1162">
        <f>IF(1*ISERROR(VLOOKUP(Z116,S86:Y95,7,FALSE)-40)=1,0,VLOOKUP(Z116,S86:Y95,7,FALSE)-40)</f>
        <v>0</v>
      </c>
      <c r="CU116" s="1162">
        <f>IF(1*ISERROR(VLOOKUP(Z116,U86:Y95,5,FALSE)-40)=1,0,VLOOKUP(Z116,U86:Y95,5,FALSE)-40)</f>
        <v>0</v>
      </c>
      <c r="CV116" s="1162">
        <v>0</v>
      </c>
      <c r="CW116" s="1162">
        <f t="shared" si="17"/>
        <v>0</v>
      </c>
      <c r="CX116" s="1162">
        <f>IF(CW116=0,35,_xlfn.RANK.EQ(CW116,CW98:CW132))</f>
        <v>35</v>
      </c>
      <c r="CY116" s="1162">
        <f>IF(CX116=35,35,CX116+COUNTIF(CX$98:CX115,CX116)/COUNTIF(CX$98:CX$132,CX116))</f>
        <v>35</v>
      </c>
      <c r="CZ116" s="1162">
        <f t="shared" si="18"/>
        <v>13</v>
      </c>
      <c r="DA116" s="1162" t="s">
        <v>400</v>
      </c>
      <c r="DB116" s="834"/>
      <c r="DC116" s="834"/>
      <c r="DD116" s="839"/>
      <c r="DE116" s="1098"/>
      <c r="DF116" s="1098"/>
      <c r="DG116" s="1098"/>
      <c r="DH116" s="1098"/>
      <c r="DI116" s="1098"/>
      <c r="DJ116" s="1098"/>
      <c r="DK116" s="1098"/>
      <c r="DL116" s="1098"/>
      <c r="DM116" s="1098"/>
      <c r="DN116" s="1098"/>
      <c r="DO116" s="1098"/>
    </row>
    <row r="117" spans="25:119" s="1086" customFormat="1">
      <c r="Y117" s="1113">
        <f t="shared" si="7"/>
        <v>20</v>
      </c>
      <c r="Z117" s="1162" t="s">
        <v>399</v>
      </c>
      <c r="AA117" s="1162">
        <f>IF(1*ISERROR(VLOOKUP(Z117,C46:Y55,23,FALSE))=1,0,VLOOKUP(Z117,C46:Y55,23,FALSE))</f>
        <v>0</v>
      </c>
      <c r="AB117" s="1162">
        <f>IF(1*ISERROR(VLOOKUP(Z117,E46:Y55,21,FALSE))=1,0,VLOOKUP(Z117,E46:Y55,21,FALSE))</f>
        <v>0</v>
      </c>
      <c r="AC117" s="1162">
        <f>IF(1*ISERROR(VLOOKUP(Z117,G46:Y55,19,FALSE))=1,0,VLOOKUP(Z117,G46:Y55,19,FALSE))</f>
        <v>0</v>
      </c>
      <c r="AD117" s="1162">
        <f>IF(1*ISERROR(VLOOKUP(Z117,I46:Y55,17,FALSE))=1,0,VLOOKUP(Z117,I46:Y55,17,FALSE))</f>
        <v>0</v>
      </c>
      <c r="AE117" s="1162">
        <f>IF(1*ISERROR(VLOOKUP(Z117,K46:Y55,15,FALSE))=1,0,VLOOKUP(Z117,K46:Y55,15,FALSE))</f>
        <v>0</v>
      </c>
      <c r="AF117" s="1162">
        <f>IF(1*ISERROR(VLOOKUP(Z117,M46:Y55,13,FALSE))=1,0,VLOOKUP(Z117,M46:Y55,13,FALSE))</f>
        <v>0</v>
      </c>
      <c r="AG117" s="1162">
        <f>IF(1*ISERROR(VLOOKUP(Z117,O46:Y55,11,FALSE))=1,0,VLOOKUP(Z117,O46:Y55,11,FALSE))</f>
        <v>0</v>
      </c>
      <c r="AH117" s="1162">
        <f>IF(1*ISERROR(VLOOKUP(Z117,Q46:Y55,9,FALSE))=1,0,VLOOKUP(Z117,Q46:Y55,9,FALSE))</f>
        <v>0</v>
      </c>
      <c r="AI117" s="1162">
        <f>IF(1*ISERROR(VLOOKUP(Z117,S46:Y55,7,FALSE))=1,0,VLOOKUP(Z117,S46:Y55,7,FALSE))</f>
        <v>0</v>
      </c>
      <c r="AJ117" s="1162">
        <f>IF(1*ISERROR(VLOOKUP(Z117,U46:Y55,5,FALSE))=1,0,VLOOKUP(Z117,U46:Y55,5,FALSE))</f>
        <v>0</v>
      </c>
      <c r="AK117" s="1162">
        <f t="shared" si="22"/>
        <v>0</v>
      </c>
      <c r="AL117" s="1162">
        <f t="shared" si="8"/>
        <v>0</v>
      </c>
      <c r="AM117" s="1162">
        <f>IF(AL117=0,35,_xlfn.RANK.EQ(AL117,AL98:AL132))</f>
        <v>35</v>
      </c>
      <c r="AN117" s="1162">
        <f>IF(AM117=35,35,AM117+COUNTIF(AM$98:AM116,AM117)/COUNTIF(AM$98:AM$132,AM117))</f>
        <v>35</v>
      </c>
      <c r="AO117" s="1162">
        <f t="shared" si="9"/>
        <v>13</v>
      </c>
      <c r="AP117" s="1162" t="s">
        <v>399</v>
      </c>
      <c r="AQ117" s="1162">
        <f>IF(1*ISERROR(VLOOKUP(Z117,C56:Y65,23,FALSE)-10)=1,0,VLOOKUP(Z117,C56:Y65,23,FALSE)-10)</f>
        <v>0</v>
      </c>
      <c r="AR117" s="1162">
        <f>IF(1*ISERROR(VLOOKUP(Z117,E56:Y65,21,FALSE)-10)=1,0,VLOOKUP(Z117,E56:Y65,21,FALSE)-10)</f>
        <v>0</v>
      </c>
      <c r="AS117" s="1162">
        <f>IF(1*ISERROR(VLOOKUP(Z117,G56:Y65,19,FALSE)-10)=1,0,VLOOKUP(Z117,G56:Y65,19,FALSE)-10)</f>
        <v>0</v>
      </c>
      <c r="AT117" s="1162">
        <f>IF(1*ISERROR(VLOOKUP(Z117,I56:Y65,17,FALSE)-10)=1,0,VLOOKUP(Z117,I56:Y65,17,FALSE)-10)</f>
        <v>0</v>
      </c>
      <c r="AU117" s="1162">
        <f>IF(1*ISERROR(VLOOKUP(Z117,K56:Y65,15,FALSE)-10)=1,0,VLOOKUP(Z117,K56:Y65,15,FALSE)-10)</f>
        <v>0</v>
      </c>
      <c r="AV117" s="1162">
        <f>IF(1*ISERROR(VLOOKUP(Z117,M56:Y65,13,FALSE)-10)=1,0,VLOOKUP(Z117,M56:Y65,13,FALSE)-10)</f>
        <v>0</v>
      </c>
      <c r="AW117" s="1162">
        <f>IF(1*ISERROR(VLOOKUP(Z117,O56:Y65,11,FALSE)-10)=1,0,VLOOKUP(Z117,O56:Y65,11,FALSE)-10)</f>
        <v>0</v>
      </c>
      <c r="AX117" s="1162">
        <f>IF(1*ISERROR(VLOOKUP(Z117,Q56:Y65,9,FALSE)-10)=1,0,VLOOKUP(Z117,Q56:Y65,9,FALSE)-10)</f>
        <v>0</v>
      </c>
      <c r="AY117" s="1162">
        <f>IF(1*ISERROR(VLOOKUP(Z117,S56:Y65,7,FALSE)-10)=1,0,VLOOKUP(Z117,S56:Y65,7,FALSE)-10)</f>
        <v>0</v>
      </c>
      <c r="AZ117" s="1163">
        <f>IF(1*ISERROR(VLOOKUP(Z117,U56:Y65,5,FALSE)-10)=1,0,VLOOKUP(Z117,U56:Y65,5,FALSE)-10)</f>
        <v>0</v>
      </c>
      <c r="BA117" s="1162">
        <f t="shared" si="10"/>
        <v>0</v>
      </c>
      <c r="BB117" s="1162">
        <f>IF(BA117=0,35,_xlfn.RANK.EQ(BA117,BA98:BA132))</f>
        <v>35</v>
      </c>
      <c r="BC117" s="1162">
        <f>IF(BB117=35,35,BB117+COUNTIF(BB$98:BB116,BB117)/COUNTIF(BB$98:BB$132,BB117))</f>
        <v>35</v>
      </c>
      <c r="BD117" s="1162">
        <f t="shared" si="11"/>
        <v>13</v>
      </c>
      <c r="BE117" s="1162" t="s">
        <v>399</v>
      </c>
      <c r="BF117" s="1162">
        <f>IF(1*ISERROR(VLOOKUP(Z117,C66:Y75,23,FALSE)-20)=1,0,VLOOKUP(Z117,C66:Y75,23,FALSE)-20)</f>
        <v>0</v>
      </c>
      <c r="BG117" s="1162">
        <f>IF(1*ISERROR(VLOOKUP(Z117,E66:Y75,21,FALSE)-20)=1,0,VLOOKUP(Z117,E66:Y75,21,FALSE)-20)</f>
        <v>0</v>
      </c>
      <c r="BH117" s="1162">
        <f>IF(1*ISERROR(VLOOKUP(Z117,G66:Y75,19,FALSE)-20)=1,0,VLOOKUP(Z117,G66:Y75,19,FALSE)-20)</f>
        <v>0</v>
      </c>
      <c r="BI117" s="1162">
        <f>IF(1*ISERROR(VLOOKUP(Z117,I66:Y75,17,FALSE)-20)=1,0,VLOOKUP(Z117,I66:Y75,17,FALSE)-20)</f>
        <v>0</v>
      </c>
      <c r="BJ117" s="1162">
        <f>IF(1*ISERROR(VLOOKUP(Z117,K66:Y75,15,FALSE)-20)=1,0,VLOOKUP(Z117,K66:Y75,15,FALSE)-20)</f>
        <v>0</v>
      </c>
      <c r="BK117" s="1162">
        <f>IF(1*ISERROR(VLOOKUP(Z117,M66:Y75,13,FALSE)-20)=1,0,VLOOKUP(Z117,M66:Y75,13,FALSE)-20)</f>
        <v>0</v>
      </c>
      <c r="BL117" s="1162">
        <f>IF(1*ISERROR(VLOOKUP(Z117,O66:Y75,11,FALSE)-20)=1,0,VLOOKUP(Z117,O66:Y75,11,FALSE)-20)</f>
        <v>0</v>
      </c>
      <c r="BM117" s="1162">
        <f>IF(1*ISERROR(VLOOKUP(Z117,Q66:Y75,9,FALSE)-20)=1,0,VLOOKUP(Z117,Q66:Y75,9,FALSE)-20)</f>
        <v>0</v>
      </c>
      <c r="BN117" s="1162">
        <f>IF(1*ISERROR(VLOOKUP(Z117,S66:Y75,7,FALSE)-20)=1,0,VLOOKUP(Z117,S66:Y75,7,FALSE)-20)</f>
        <v>0</v>
      </c>
      <c r="BO117" s="1162">
        <f>IF(1*ISERROR(VLOOKUP(Z117,U66:Y75,5,FALSE)-20)=1,0,VLOOKUP(Z117,U66:Y75,5,FALSE)-20)</f>
        <v>0</v>
      </c>
      <c r="BP117" s="1162">
        <f t="shared" si="20"/>
        <v>0</v>
      </c>
      <c r="BQ117" s="1162">
        <f t="shared" si="12"/>
        <v>0</v>
      </c>
      <c r="BR117" s="1162">
        <f>IF(BQ117=0,35,_xlfn.RANK.EQ(BQ117,BQ98:BQ132))</f>
        <v>35</v>
      </c>
      <c r="BS117" s="1162">
        <f>IF(BR117=35,35,BR117+COUNTIF(BR$98:BR116,BR117)/COUNTIF(BR$98:BR$132,BR117))</f>
        <v>35</v>
      </c>
      <c r="BT117" s="1162">
        <f t="shared" si="13"/>
        <v>13</v>
      </c>
      <c r="BU117" s="1162" t="s">
        <v>399</v>
      </c>
      <c r="BV117" s="1162">
        <f>IF(1*ISERROR(VLOOKUP(Z117,C76:Y85,23,FALSE)-30)=1,0,VLOOKUP(Z117,C76:Y85,23,FALSE)-30)</f>
        <v>6</v>
      </c>
      <c r="BW117" s="1162">
        <f>IF(1*ISERROR(VLOOKUP(Z117,E76:Y85,21,FALSE)-30)=1,0,VLOOKUP(Z117,E76:Y85,21,FALSE)-30)</f>
        <v>0</v>
      </c>
      <c r="BX117" s="1162">
        <f>IF(1*ISERROR(VLOOKUP(Z117,G76:Y85,19,FALSE)-30)=1,0,VLOOKUP(Z117,G76:Y85,19,FALSE)-30)</f>
        <v>10</v>
      </c>
      <c r="BY117" s="1162">
        <f>IF(1*ISERROR(VLOOKUP(Z117,I76:Y85,17,FALSE)-30)=1,0,VLOOKUP(Z117,I76:Y85,17,FALSE)-30)</f>
        <v>10</v>
      </c>
      <c r="BZ117" s="1162">
        <f>IF(1*ISERROR(VLOOKUP(Z117,K76:Y85,15,FALSE)-30)=1,0,VLOOKUP(Z117,K76:Y85,15,FALSE)-30)</f>
        <v>0</v>
      </c>
      <c r="CA117" s="1162">
        <f>IF(1*ISERROR(VLOOKUP(Z117,M76:Y85,13,FALSE)-30)=1,0,VLOOKUP(Z117,M76:Y85,13,FALSE)-30)</f>
        <v>0</v>
      </c>
      <c r="CB117" s="1162">
        <f>IF(1*ISERROR(VLOOKUP(Z117,O76:Y85,11,FALSE)-30)=1,0,VLOOKUP(Z117,O76:Y85,11,FALSE)-30)</f>
        <v>0</v>
      </c>
      <c r="CC117" s="1162">
        <f>IF(1*ISERROR(VLOOKUP(Z117,Q76:Y85,9,FALSE)-30)=1,0,VLOOKUP(Z117,Q76:Y85,9,FALSE)-30)</f>
        <v>0</v>
      </c>
      <c r="CD117" s="1162">
        <f>IF(1*ISERROR(VLOOKUP(Z117,S76:Y85,7,FALSE)-30)=1,0,VLOOKUP(Z117,S76:Y85,7,FALSE)-30)</f>
        <v>0</v>
      </c>
      <c r="CE117" s="1162">
        <f>IF(1*ISERROR(VLOOKUP(Z117,U76:Y85,5,FALSE)-30)=1,0,VLOOKUP(Z117,U76:Y85,5,FALSE)-30)</f>
        <v>0</v>
      </c>
      <c r="CF117" s="1163">
        <f t="shared" si="21"/>
        <v>0</v>
      </c>
      <c r="CG117" s="1162">
        <f t="shared" si="14"/>
        <v>26</v>
      </c>
      <c r="CH117" s="1162">
        <f t="shared" si="15"/>
        <v>9</v>
      </c>
      <c r="CI117" s="1162">
        <f>IF(CH117=35,35,CH117+COUNTIF(CH$98:CH116,CH117)/COUNTIF(CH$98:CH$132,CH117))</f>
        <v>9</v>
      </c>
      <c r="CJ117" s="1162">
        <f t="shared" si="16"/>
        <v>9</v>
      </c>
      <c r="CK117" s="1162" t="s">
        <v>399</v>
      </c>
      <c r="CL117" s="1162">
        <f>IF(1*ISERROR(VLOOKUP(Z117,C86:Y95,23,FALSE)-40)=1,0,VLOOKUP(Z117,C86:Y95,23,FALSE)-40)</f>
        <v>0</v>
      </c>
      <c r="CM117" s="1162">
        <f>IF(1*ISERROR(VLOOKUP(Z117,E86:Y95,21,FALSE)-40)=1,0,VLOOKUP(Z117,E86:Y95,21,FALSE)-40)</f>
        <v>0</v>
      </c>
      <c r="CN117" s="1162">
        <f>IF(1*ISERROR(VLOOKUP(Z117,G86:Y95,19,FALSE)-40)=1,0,VLOOKUP(Z117,G86:Y95,19,FALSE)-40)</f>
        <v>0</v>
      </c>
      <c r="CO117" s="1162">
        <f>IF(1*ISERROR(VLOOKUP(Z117,I86:Y95,17,FALSE)-40)=1,0,VLOOKUP(Z117,I86:Y95,17,FALSE)-40)</f>
        <v>0</v>
      </c>
      <c r="CP117" s="1162">
        <f>IF(1*ISERROR(VLOOKUP(Z117,K86:Y95,15,FALSE)-40)=1,0,VLOOKUP(Z117,K86:Y95,15,FALSE)-40)</f>
        <v>0</v>
      </c>
      <c r="CQ117" s="1162">
        <f>IF(1*ISERROR(VLOOKUP(Z117,M86:Y95,13,FALSE)-40)=1,0,VLOOKUP(Z117,M86:Y95,13,FALSE)-40)</f>
        <v>0</v>
      </c>
      <c r="CR117" s="1162">
        <f>IF(1*ISERROR(VLOOKUP(Z117,O86:Y95,11,FALSE)-40)=1,0,VLOOKUP(Z117,O86:Y95,11,FALSE)-40)</f>
        <v>0</v>
      </c>
      <c r="CS117" s="1162">
        <f>IF(1*ISERROR(VLOOKUP(Z117,Q86:Y95,9,FALSE)-40)=1,0,VLOOKUP(Z117,Q86:Y95,9,FALSE)-40)</f>
        <v>0</v>
      </c>
      <c r="CT117" s="1162">
        <f>IF(1*ISERROR(VLOOKUP(Z117,S86:Y95,7,FALSE)-40)=1,0,VLOOKUP(Z117,S86:Y95,7,FALSE)-40)</f>
        <v>0</v>
      </c>
      <c r="CU117" s="1162">
        <f>IF(1*ISERROR(VLOOKUP(Z117,U86:Y95,5,FALSE)-40)=1,0,VLOOKUP(Z117,U86:Y95,5,FALSE)-40)</f>
        <v>0</v>
      </c>
      <c r="CV117" s="1162">
        <v>0</v>
      </c>
      <c r="CW117" s="1162">
        <f t="shared" si="17"/>
        <v>0</v>
      </c>
      <c r="CX117" s="1162">
        <f>IF(CW117=0,35,_xlfn.RANK.EQ(CW117,CW98:CW132))</f>
        <v>35</v>
      </c>
      <c r="CY117" s="1162">
        <f>IF(CX117=35,35,CX117+COUNTIF(CX$98:CX116,CX117)/COUNTIF(CX$98:CX$132,CX117))</f>
        <v>35</v>
      </c>
      <c r="CZ117" s="1162">
        <f t="shared" si="18"/>
        <v>13</v>
      </c>
      <c r="DA117" s="1162" t="s">
        <v>399</v>
      </c>
      <c r="DB117" s="834"/>
      <c r="DC117" s="834"/>
      <c r="DD117" s="839"/>
      <c r="DE117" s="1098"/>
      <c r="DF117" s="1098"/>
      <c r="DG117" s="1098"/>
      <c r="DH117" s="1098"/>
      <c r="DI117" s="1098"/>
      <c r="DJ117" s="1098"/>
      <c r="DK117" s="1098"/>
      <c r="DL117" s="1098"/>
      <c r="DM117" s="1098"/>
      <c r="DN117" s="1098"/>
      <c r="DO117" s="1098"/>
    </row>
    <row r="118" spans="25:119" s="1086" customFormat="1">
      <c r="Y118" s="1113">
        <f t="shared" ref="Y118:Y176" si="23">Y117+1</f>
        <v>21</v>
      </c>
      <c r="Z118" s="1162" t="s">
        <v>411</v>
      </c>
      <c r="AA118" s="1162">
        <f>IF(1*ISERROR(VLOOKUP(Z118,C46:Y55,23,FALSE))=1,0,VLOOKUP(Z118,C46:Y55,23,FALSE))</f>
        <v>0</v>
      </c>
      <c r="AB118" s="1162">
        <f>IF(1*ISERROR(VLOOKUP(Z118,E46:Y55,21,FALSE))=1,0,VLOOKUP(Z118,E46:Y55,21,FALSE))</f>
        <v>0</v>
      </c>
      <c r="AC118" s="1162">
        <f>IF(1*ISERROR(VLOOKUP(Z118,G46:Y55,19,FALSE))=1,0,VLOOKUP(Z118,G46:Y55,19,FALSE))</f>
        <v>0</v>
      </c>
      <c r="AD118" s="1162">
        <f>IF(1*ISERROR(VLOOKUP(Z118,I46:Y55,17,FALSE))=1,0,VLOOKUP(Z118,I46:Y55,17,FALSE))</f>
        <v>0</v>
      </c>
      <c r="AE118" s="1162">
        <f>IF(1*ISERROR(VLOOKUP(Z118,K46:Y55,15,FALSE))=1,0,VLOOKUP(Z118,K46:Y55,15,FALSE))</f>
        <v>0</v>
      </c>
      <c r="AF118" s="1162">
        <f>IF(1*ISERROR(VLOOKUP(Z118,M46:Y55,13,FALSE))=1,0,VLOOKUP(Z118,M46:Y55,13,FALSE))</f>
        <v>0</v>
      </c>
      <c r="AG118" s="1162">
        <f>IF(1*ISERROR(VLOOKUP(Z118,O46:Y55,11,FALSE))=1,0,VLOOKUP(Z118,O46:Y55,11,FALSE))</f>
        <v>0</v>
      </c>
      <c r="AH118" s="1162">
        <f>IF(1*ISERROR(VLOOKUP(Z118,Q46:Y55,9,FALSE))=1,0,VLOOKUP(Z118,Q46:Y55,9,FALSE))</f>
        <v>0</v>
      </c>
      <c r="AI118" s="1162">
        <f>IF(1*ISERROR(VLOOKUP(Z118,S46:Y55,7,FALSE))=1,0,VLOOKUP(Z118,S46:Y55,7,FALSE))</f>
        <v>0</v>
      </c>
      <c r="AJ118" s="1162">
        <f>IF(1*ISERROR(VLOOKUP(Z118,U46:Y55,5,FALSE))=1,0,VLOOKUP(Z118,U46:Y55,5,FALSE))</f>
        <v>0</v>
      </c>
      <c r="AK118" s="1162">
        <f t="shared" si="22"/>
        <v>0</v>
      </c>
      <c r="AL118" s="1162">
        <f t="shared" si="8"/>
        <v>0</v>
      </c>
      <c r="AM118" s="1162">
        <f>IF(AL118=0,35,_xlfn.RANK.EQ(AL118,AL98:AL132))</f>
        <v>35</v>
      </c>
      <c r="AN118" s="1162">
        <f>IF(AM118=35,35,AM118+COUNTIF(AM$98:AM117,AM118)/COUNTIF(AM$98:AM$132,AM118))</f>
        <v>35</v>
      </c>
      <c r="AO118" s="1162">
        <f t="shared" si="9"/>
        <v>13</v>
      </c>
      <c r="AP118" s="1162" t="s">
        <v>411</v>
      </c>
      <c r="AQ118" s="1162">
        <f>IF(1*ISERROR(VLOOKUP(Z118,C56:Y65,23,FALSE)-10)=1,0,VLOOKUP(Z118,C56:Y65,23,FALSE)-10)</f>
        <v>0</v>
      </c>
      <c r="AR118" s="1162">
        <f>IF(1*ISERROR(VLOOKUP(Z118,E56:Y65,21,FALSE)-10)=1,0,VLOOKUP(Z118,E56:Y65,21,FALSE)-10)</f>
        <v>0</v>
      </c>
      <c r="AS118" s="1162">
        <f>IF(1*ISERROR(VLOOKUP(Z118,G56:Y65,19,FALSE)-10)=1,0,VLOOKUP(Z118,G56:Y65,19,FALSE)-10)</f>
        <v>0</v>
      </c>
      <c r="AT118" s="1162">
        <f>IF(1*ISERROR(VLOOKUP(Z118,I56:Y65,17,FALSE)-10)=1,0,VLOOKUP(Z118,I56:Y65,17,FALSE)-10)</f>
        <v>0</v>
      </c>
      <c r="AU118" s="1162">
        <f>IF(1*ISERROR(VLOOKUP(Z118,K56:Y65,15,FALSE)-10)=1,0,VLOOKUP(Z118,K56:Y65,15,FALSE)-10)</f>
        <v>0</v>
      </c>
      <c r="AV118" s="1162">
        <f>IF(1*ISERROR(VLOOKUP(Z118,M56:Y65,13,FALSE)-10)=1,0,VLOOKUP(Z118,M56:Y65,13,FALSE)-10)</f>
        <v>0</v>
      </c>
      <c r="AW118" s="1162">
        <f>IF(1*ISERROR(VLOOKUP(Z118,O56:Y65,11,FALSE)-10)=1,0,VLOOKUP(Z118,O56:Y65,11,FALSE)-10)</f>
        <v>0</v>
      </c>
      <c r="AX118" s="1162">
        <f>IF(1*ISERROR(VLOOKUP(Z118,Q56:Y65,9,FALSE)-10)=1,0,VLOOKUP(Z118,Q56:Y65,9,FALSE)-10)</f>
        <v>0</v>
      </c>
      <c r="AY118" s="1162">
        <f>IF(1*ISERROR(VLOOKUP(Z118,S56:Y65,7,FALSE)-10)=1,0,VLOOKUP(Z118,S56:Y65,7,FALSE)-10)</f>
        <v>0</v>
      </c>
      <c r="AZ118" s="1163">
        <f>IF(1*ISERROR(VLOOKUP(Z118,U56:Y65,5,FALSE)-10)=1,0,VLOOKUP(Z118,U56:Y65,5,FALSE)-10)</f>
        <v>0</v>
      </c>
      <c r="BA118" s="1162">
        <f t="shared" si="10"/>
        <v>0</v>
      </c>
      <c r="BB118" s="1162">
        <f>IF(BA118=0,35,_xlfn.RANK.EQ(BA118,BA98:BA132))</f>
        <v>35</v>
      </c>
      <c r="BC118" s="1162">
        <f>IF(BB118=35,35,BB118+COUNTIF(BB$98:BB117,BB118)/COUNTIF(BB$98:BB$132,BB118))</f>
        <v>35</v>
      </c>
      <c r="BD118" s="1162">
        <f t="shared" si="11"/>
        <v>13</v>
      </c>
      <c r="BE118" s="1162" t="s">
        <v>411</v>
      </c>
      <c r="BF118" s="1162">
        <f>IF(1*ISERROR(VLOOKUP(Z118,C66:Y75,23,FALSE)-20)=1,0,VLOOKUP(Z118,C66:Y75,23,FALSE)-20)</f>
        <v>0</v>
      </c>
      <c r="BG118" s="1162">
        <f>IF(1*ISERROR(VLOOKUP(Z118,E66:Y75,21,FALSE)-20)=1,0,VLOOKUP(Z118,E66:Y75,21,FALSE)-20)</f>
        <v>0</v>
      </c>
      <c r="BH118" s="1162">
        <f>IF(1*ISERROR(VLOOKUP(Z118,G66:Y75,19,FALSE)-20)=1,0,VLOOKUP(Z118,G66:Y75,19,FALSE)-20)</f>
        <v>0</v>
      </c>
      <c r="BI118" s="1162">
        <f>IF(1*ISERROR(VLOOKUP(Z118,I66:Y75,17,FALSE)-20)=1,0,VLOOKUP(Z118,I66:Y75,17,FALSE)-20)</f>
        <v>0</v>
      </c>
      <c r="BJ118" s="1162">
        <f>IF(1*ISERROR(VLOOKUP(Z118,K66:Y75,15,FALSE)-20)=1,0,VLOOKUP(Z118,K66:Y75,15,FALSE)-20)</f>
        <v>0</v>
      </c>
      <c r="BK118" s="1162">
        <f>IF(1*ISERROR(VLOOKUP(Z118,M66:Y75,13,FALSE)-20)=1,0,VLOOKUP(Z118,M66:Y75,13,FALSE)-20)</f>
        <v>0</v>
      </c>
      <c r="BL118" s="1162">
        <f>IF(1*ISERROR(VLOOKUP(Z118,O66:Y75,11,FALSE)-20)=1,0,VLOOKUP(Z118,O66:Y75,11,FALSE)-20)</f>
        <v>0</v>
      </c>
      <c r="BM118" s="1162">
        <f>IF(1*ISERROR(VLOOKUP(Z118,Q66:Y75,9,FALSE)-20)=1,0,VLOOKUP(Z118,Q66:Y75,9,FALSE)-20)</f>
        <v>0</v>
      </c>
      <c r="BN118" s="1162">
        <f>IF(1*ISERROR(VLOOKUP(Z118,S66:Y75,7,FALSE)-20)=1,0,VLOOKUP(Z118,S66:Y75,7,FALSE)-20)</f>
        <v>0</v>
      </c>
      <c r="BO118" s="1162">
        <f>IF(1*ISERROR(VLOOKUP(Z118,U66:Y75,5,FALSE)-20)=1,0,VLOOKUP(Z118,U66:Y75,5,FALSE)-20)</f>
        <v>0</v>
      </c>
      <c r="BP118" s="1162">
        <f t="shared" si="20"/>
        <v>0</v>
      </c>
      <c r="BQ118" s="1162">
        <f t="shared" si="12"/>
        <v>0</v>
      </c>
      <c r="BR118" s="1162">
        <f>IF(BQ118=0,35,_xlfn.RANK.EQ(BQ118,BQ98:BQ132))</f>
        <v>35</v>
      </c>
      <c r="BS118" s="1162">
        <f>IF(BR118=35,35,BR118+COUNTIF(BR$98:BR117,BR118)/COUNTIF(BR$98:BR$132,BR118))</f>
        <v>35</v>
      </c>
      <c r="BT118" s="1162">
        <f t="shared" si="13"/>
        <v>13</v>
      </c>
      <c r="BU118" s="1162" t="s">
        <v>411</v>
      </c>
      <c r="BV118" s="1162">
        <f>IF(1*ISERROR(VLOOKUP(Z118,C76:Y85,23,FALSE)-30)=1,0,VLOOKUP(Z118,C76:Y85,23,FALSE)-30)</f>
        <v>0</v>
      </c>
      <c r="BW118" s="1162">
        <f>IF(1*ISERROR(VLOOKUP(Z118,E76:Y85,21,FALSE)-30)=1,0,VLOOKUP(Z118,E76:Y85,21,FALSE)-30)</f>
        <v>0</v>
      </c>
      <c r="BX118" s="1162">
        <f>IF(1*ISERROR(VLOOKUP(Z118,G76:Y85,19,FALSE)-30)=1,0,VLOOKUP(Z118,G76:Y85,19,FALSE)-30)</f>
        <v>0</v>
      </c>
      <c r="BY118" s="1162">
        <f>IF(1*ISERROR(VLOOKUP(Z118,I76:Y85,17,FALSE)-30)=1,0,VLOOKUP(Z118,I76:Y85,17,FALSE)-30)</f>
        <v>0</v>
      </c>
      <c r="BZ118" s="1162">
        <f>IF(1*ISERROR(VLOOKUP(Z118,K76:Y85,15,FALSE)-30)=1,0,VLOOKUP(Z118,K76:Y85,15,FALSE)-30)</f>
        <v>0</v>
      </c>
      <c r="CA118" s="1162">
        <f>IF(1*ISERROR(VLOOKUP(Z118,M76:Y85,13,FALSE)-30)=1,0,VLOOKUP(Z118,M76:Y85,13,FALSE)-30)</f>
        <v>0</v>
      </c>
      <c r="CB118" s="1162">
        <f>IF(1*ISERROR(VLOOKUP(Z118,O76:Y85,11,FALSE)-30)=1,0,VLOOKUP(Z118,O76:Y85,11,FALSE)-30)</f>
        <v>0</v>
      </c>
      <c r="CC118" s="1162">
        <f>IF(1*ISERROR(VLOOKUP(Z118,Q76:Y85,9,FALSE)-30)=1,0,VLOOKUP(Z118,Q76:Y85,9,FALSE)-30)</f>
        <v>0</v>
      </c>
      <c r="CD118" s="1162">
        <f>IF(1*ISERROR(VLOOKUP(Z118,S76:Y85,7,FALSE)-30)=1,0,VLOOKUP(Z118,S76:Y85,7,FALSE)-30)</f>
        <v>0</v>
      </c>
      <c r="CE118" s="1162">
        <f>IF(1*ISERROR(VLOOKUP(Z118,U76:Y85,5,FALSE)-30)=1,0,VLOOKUP(Z118,U76:Y85,5,FALSE)-30)</f>
        <v>0</v>
      </c>
      <c r="CF118" s="1163">
        <f t="shared" si="21"/>
        <v>0</v>
      </c>
      <c r="CG118" s="1162">
        <f t="shared" si="14"/>
        <v>0</v>
      </c>
      <c r="CH118" s="1162">
        <f t="shared" si="15"/>
        <v>35</v>
      </c>
      <c r="CI118" s="1162">
        <f>IF(CH118=35,35,CH118+COUNTIF(CH$98:CH117,CH118)/COUNTIF(CH$98:CH$132,CH118))</f>
        <v>35</v>
      </c>
      <c r="CJ118" s="1162">
        <f t="shared" si="16"/>
        <v>20</v>
      </c>
      <c r="CK118" s="1162" t="s">
        <v>411</v>
      </c>
      <c r="CL118" s="1162">
        <f>IF(1*ISERROR(VLOOKUP(Z118,C86:Y95,23,FALSE)-40)=1,0,VLOOKUP(Z118,C86:Y95,23,FALSE)-40)</f>
        <v>0</v>
      </c>
      <c r="CM118" s="1162">
        <f>IF(1*ISERROR(VLOOKUP(Z118,E86:Y95,21,FALSE)-40)=1,0,VLOOKUP(Z118,E86:Y95,21,FALSE)-40)</f>
        <v>0</v>
      </c>
      <c r="CN118" s="1162">
        <f>IF(1*ISERROR(VLOOKUP(Z118,G86:Y95,19,FALSE)-40)=1,0,VLOOKUP(Z118,G86:Y95,19,FALSE)-40)</f>
        <v>0</v>
      </c>
      <c r="CO118" s="1162">
        <f>IF(1*ISERROR(VLOOKUP(Z118,I86:Y95,17,FALSE)-40)=1,0,VLOOKUP(Z118,I86:Y95,17,FALSE)-40)</f>
        <v>0</v>
      </c>
      <c r="CP118" s="1162">
        <f>IF(1*ISERROR(VLOOKUP(Z118,K86:Y95,15,FALSE)-40)=1,0,VLOOKUP(Z118,K86:Y95,15,FALSE)-40)</f>
        <v>0</v>
      </c>
      <c r="CQ118" s="1162">
        <f>IF(1*ISERROR(VLOOKUP(Z118,M86:Y95,13,FALSE)-40)=1,0,VLOOKUP(Z118,M86:Y95,13,FALSE)-40)</f>
        <v>0</v>
      </c>
      <c r="CR118" s="1162">
        <f>IF(1*ISERROR(VLOOKUP(Z118,O86:Y95,11,FALSE)-40)=1,0,VLOOKUP(Z118,O86:Y95,11,FALSE)-40)</f>
        <v>0</v>
      </c>
      <c r="CS118" s="1162">
        <f>IF(1*ISERROR(VLOOKUP(Z118,Q86:Y95,9,FALSE)-40)=1,0,VLOOKUP(Z118,Q86:Y95,9,FALSE)-40)</f>
        <v>0</v>
      </c>
      <c r="CT118" s="1162">
        <f>IF(1*ISERROR(VLOOKUP(Z118,S86:Y95,7,FALSE)-40)=1,0,VLOOKUP(Z118,S86:Y95,7,FALSE)-40)</f>
        <v>0</v>
      </c>
      <c r="CU118" s="1162">
        <f>IF(1*ISERROR(VLOOKUP(Z118,U86:Y95,5,FALSE)-40)=1,0,VLOOKUP(Z118,U86:Y95,5,FALSE)-40)</f>
        <v>0</v>
      </c>
      <c r="CV118" s="1162">
        <v>0</v>
      </c>
      <c r="CW118" s="1162">
        <f t="shared" si="17"/>
        <v>0</v>
      </c>
      <c r="CX118" s="1162">
        <f>IF(CW118=0,35,_xlfn.RANK.EQ(CW118,CW98:CW132))</f>
        <v>35</v>
      </c>
      <c r="CY118" s="1162">
        <f>IF(CX118=35,35,CX118+COUNTIF(CX$98:CX117,CX118)/COUNTIF(CX$98:CX$132,CX118))</f>
        <v>35</v>
      </c>
      <c r="CZ118" s="1162">
        <f t="shared" si="18"/>
        <v>13</v>
      </c>
      <c r="DA118" s="1162" t="s">
        <v>411</v>
      </c>
      <c r="DB118" s="834"/>
      <c r="DC118" s="834"/>
      <c r="DD118" s="839"/>
      <c r="DE118" s="1098"/>
      <c r="DF118" s="1098"/>
      <c r="DG118" s="1098"/>
      <c r="DH118" s="1098"/>
      <c r="DI118" s="1098"/>
      <c r="DJ118" s="1098"/>
      <c r="DK118" s="1098"/>
      <c r="DL118" s="1098"/>
      <c r="DM118" s="1098"/>
      <c r="DN118" s="1098"/>
      <c r="DO118" s="1098"/>
    </row>
    <row r="119" spans="25:119" s="1086" customFormat="1">
      <c r="Y119" s="1113">
        <f t="shared" si="23"/>
        <v>22</v>
      </c>
      <c r="Z119" s="1162" t="s">
        <v>412</v>
      </c>
      <c r="AA119" s="1162">
        <f>IF(1*ISERROR(VLOOKUP(Z119,C46:Y55,23,FALSE))=1,0,VLOOKUP(Z119,C46:Y55,23,FALSE))</f>
        <v>0</v>
      </c>
      <c r="AB119" s="1162">
        <f>IF(1*ISERROR(VLOOKUP(Z119,E46:Y55,21,FALSE))=1,0,VLOOKUP(Z119,E46:Y55,21,FALSE))</f>
        <v>0</v>
      </c>
      <c r="AC119" s="1162">
        <f>IF(1*ISERROR(VLOOKUP(Z119,G46:Y55,19,FALSE))=1,0,VLOOKUP(Z119,G46:Y55,19,FALSE))</f>
        <v>0</v>
      </c>
      <c r="AD119" s="1162">
        <f>IF(1*ISERROR(VLOOKUP(Z119,I46:Y55,17,FALSE))=1,0,VLOOKUP(Z119,I46:Y55,17,FALSE))</f>
        <v>0</v>
      </c>
      <c r="AE119" s="1162">
        <f>IF(1*ISERROR(VLOOKUP(Z119,K46:Y55,15,FALSE))=1,0,VLOOKUP(Z119,K46:Y55,15,FALSE))</f>
        <v>0</v>
      </c>
      <c r="AF119" s="1162">
        <f>IF(1*ISERROR(VLOOKUP(Z119,M46:Y55,13,FALSE))=1,0,VLOOKUP(Z119,M46:Y55,13,FALSE))</f>
        <v>0</v>
      </c>
      <c r="AG119" s="1162">
        <f>IF(1*ISERROR(VLOOKUP(Z119,O46:Y55,11,FALSE))=1,0,VLOOKUP(Z119,O46:Y55,11,FALSE))</f>
        <v>0</v>
      </c>
      <c r="AH119" s="1162">
        <f>IF(1*ISERROR(VLOOKUP(Z119,Q46:Y55,9,FALSE))=1,0,VLOOKUP(Z119,Q46:Y55,9,FALSE))</f>
        <v>0</v>
      </c>
      <c r="AI119" s="1162">
        <f>IF(1*ISERROR(VLOOKUP(Z119,S46:Y55,7,FALSE))=1,0,VLOOKUP(Z119,S46:Y55,7,FALSE))</f>
        <v>0</v>
      </c>
      <c r="AJ119" s="1162">
        <f>IF(1*ISERROR(VLOOKUP(Z119,U46:Y55,5,FALSE))=1,0,VLOOKUP(Z119,U46:Y55,5,FALSE))</f>
        <v>0</v>
      </c>
      <c r="AK119" s="1162">
        <f t="shared" si="22"/>
        <v>0</v>
      </c>
      <c r="AL119" s="1162">
        <f t="shared" si="8"/>
        <v>0</v>
      </c>
      <c r="AM119" s="1162">
        <f>IF(AL119=0,35,_xlfn.RANK.EQ(AL119,AL98:AL132))</f>
        <v>35</v>
      </c>
      <c r="AN119" s="1162">
        <f>IF(AM119=35,35,AM119+COUNTIF(AM$98:AM118,AM119)/COUNTIF(AM$98:AM$132,AM119))</f>
        <v>35</v>
      </c>
      <c r="AO119" s="1162">
        <f t="shared" si="9"/>
        <v>13</v>
      </c>
      <c r="AP119" s="1162" t="s">
        <v>412</v>
      </c>
      <c r="AQ119" s="1162">
        <f>IF(1*ISERROR(VLOOKUP(Z119,C56:Y65,23,FALSE)-10)=1,0,VLOOKUP(Z119,C56:Y65,23,FALSE)-10)</f>
        <v>0</v>
      </c>
      <c r="AR119" s="1162">
        <f>IF(1*ISERROR(VLOOKUP(Z119,E56:Y65,21,FALSE)-10)=1,0,VLOOKUP(Z119,E56:Y65,21,FALSE)-10)</f>
        <v>0</v>
      </c>
      <c r="AS119" s="1162">
        <f>IF(1*ISERROR(VLOOKUP(Z119,G56:Y65,19,FALSE)-10)=1,0,VLOOKUP(Z119,G56:Y65,19,FALSE)-10)</f>
        <v>0</v>
      </c>
      <c r="AT119" s="1162">
        <f>IF(1*ISERROR(VLOOKUP(Z119,I56:Y65,17,FALSE)-10)=1,0,VLOOKUP(Z119,I56:Y65,17,FALSE)-10)</f>
        <v>0</v>
      </c>
      <c r="AU119" s="1162">
        <f>IF(1*ISERROR(VLOOKUP(Z119,K56:Y65,15,FALSE)-10)=1,0,VLOOKUP(Z119,K56:Y65,15,FALSE)-10)</f>
        <v>0</v>
      </c>
      <c r="AV119" s="1162">
        <f>IF(1*ISERROR(VLOOKUP(Z119,M56:Y65,13,FALSE)-10)=1,0,VLOOKUP(Z119,M56:Y65,13,FALSE)-10)</f>
        <v>0</v>
      </c>
      <c r="AW119" s="1162">
        <f>IF(1*ISERROR(VLOOKUP(Z119,O56:Y65,11,FALSE)-10)=1,0,VLOOKUP(Z119,O56:Y65,11,FALSE)-10)</f>
        <v>0</v>
      </c>
      <c r="AX119" s="1162">
        <f>IF(1*ISERROR(VLOOKUP(Z119,Q56:Y65,9,FALSE)-10)=1,0,VLOOKUP(Z119,Q56:Y65,9,FALSE)-10)</f>
        <v>0</v>
      </c>
      <c r="AY119" s="1162">
        <f>IF(1*ISERROR(VLOOKUP(Z119,S56:Y65,7,FALSE)-10)=1,0,VLOOKUP(Z119,S56:Y65,7,FALSE)-10)</f>
        <v>0</v>
      </c>
      <c r="AZ119" s="1163">
        <f>IF(1*ISERROR(VLOOKUP(Z119,U56:Y65,5,FALSE)-10)=1,0,VLOOKUP(Z119,U56:Y65,5,FALSE)-10)</f>
        <v>0</v>
      </c>
      <c r="BA119" s="1162">
        <f t="shared" si="10"/>
        <v>0</v>
      </c>
      <c r="BB119" s="1162">
        <f>IF(BA119=0,35,_xlfn.RANK.EQ(BA119,BA98:BA132))</f>
        <v>35</v>
      </c>
      <c r="BC119" s="1162">
        <f>IF(BB119=35,35,BB119+COUNTIF(BB$98:BB118,BB119)/COUNTIF(BB$98:BB$132,BB119))</f>
        <v>35</v>
      </c>
      <c r="BD119" s="1162">
        <f t="shared" si="11"/>
        <v>13</v>
      </c>
      <c r="BE119" s="1162" t="s">
        <v>412</v>
      </c>
      <c r="BF119" s="1162">
        <f>IF(1*ISERROR(VLOOKUP(Z119,C66:Y75,23,FALSE)-20)=1,0,VLOOKUP(Z119,C66:Y75,23,FALSE)-20)</f>
        <v>0</v>
      </c>
      <c r="BG119" s="1162">
        <f>IF(1*ISERROR(VLOOKUP(Z119,E66:Y75,21,FALSE)-20)=1,0,VLOOKUP(Z119,E66:Y75,21,FALSE)-20)</f>
        <v>0</v>
      </c>
      <c r="BH119" s="1162">
        <f>IF(1*ISERROR(VLOOKUP(Z119,G66:Y75,19,FALSE)-20)=1,0,VLOOKUP(Z119,G66:Y75,19,FALSE)-20)</f>
        <v>0</v>
      </c>
      <c r="BI119" s="1162">
        <f>IF(1*ISERROR(VLOOKUP(Z119,I66:Y75,17,FALSE)-20)=1,0,VLOOKUP(Z119,I66:Y75,17,FALSE)-20)</f>
        <v>0</v>
      </c>
      <c r="BJ119" s="1162">
        <f>IF(1*ISERROR(VLOOKUP(Z119,K66:Y75,15,FALSE)-20)=1,0,VLOOKUP(Z119,K66:Y75,15,FALSE)-20)</f>
        <v>0</v>
      </c>
      <c r="BK119" s="1162">
        <f>IF(1*ISERROR(VLOOKUP(Z119,M66:Y75,13,FALSE)-20)=1,0,VLOOKUP(Z119,M66:Y75,13,FALSE)-20)</f>
        <v>0</v>
      </c>
      <c r="BL119" s="1162">
        <f>IF(1*ISERROR(VLOOKUP(Z119,O66:Y75,11,FALSE)-20)=1,0,VLOOKUP(Z119,O66:Y75,11,FALSE)-20)</f>
        <v>0</v>
      </c>
      <c r="BM119" s="1162">
        <f>IF(1*ISERROR(VLOOKUP(Z119,Q66:Y75,9,FALSE)-20)=1,0,VLOOKUP(Z119,Q66:Y75,9,FALSE)-20)</f>
        <v>0</v>
      </c>
      <c r="BN119" s="1162">
        <f>IF(1*ISERROR(VLOOKUP(Z119,S66:Y75,7,FALSE)-20)=1,0,VLOOKUP(Z119,S66:Y75,7,FALSE)-20)</f>
        <v>0</v>
      </c>
      <c r="BO119" s="1162">
        <f>IF(1*ISERROR(VLOOKUP(Z119,U66:Y75,5,FALSE)-20)=1,0,VLOOKUP(Z119,U66:Y75,5,FALSE)-20)</f>
        <v>0</v>
      </c>
      <c r="BP119" s="1162">
        <f t="shared" si="20"/>
        <v>0</v>
      </c>
      <c r="BQ119" s="1162">
        <f t="shared" si="12"/>
        <v>0</v>
      </c>
      <c r="BR119" s="1162">
        <f>IF(BQ119=0,35,_xlfn.RANK.EQ(BQ119,BQ98:BQ132))</f>
        <v>35</v>
      </c>
      <c r="BS119" s="1162">
        <f>IF(BR119=35,35,BR119+COUNTIF(BR$98:BR118,BR119)/COUNTIF(BR$98:BR$132,BR119))</f>
        <v>35</v>
      </c>
      <c r="BT119" s="1162">
        <f t="shared" si="13"/>
        <v>13</v>
      </c>
      <c r="BU119" s="1162" t="s">
        <v>412</v>
      </c>
      <c r="BV119" s="1162">
        <f>IF(1*ISERROR(VLOOKUP(Z119,C76:Y85,23,FALSE)-30)=1,0,VLOOKUP(Z119,C76:Y85,23,FALSE)-30)</f>
        <v>0</v>
      </c>
      <c r="BW119" s="1162">
        <f>IF(1*ISERROR(VLOOKUP(Z119,E76:Y85,21,FALSE)-30)=1,0,VLOOKUP(Z119,E76:Y85,21,FALSE)-30)</f>
        <v>0</v>
      </c>
      <c r="BX119" s="1162">
        <f>IF(1*ISERROR(VLOOKUP(Z119,G76:Y85,19,FALSE)-30)=1,0,VLOOKUP(Z119,G76:Y85,19,FALSE)-30)</f>
        <v>0</v>
      </c>
      <c r="BY119" s="1162">
        <f>IF(1*ISERROR(VLOOKUP(Z119,I76:Y85,17,FALSE)-30)=1,0,VLOOKUP(Z119,I76:Y85,17,FALSE)-30)</f>
        <v>0</v>
      </c>
      <c r="BZ119" s="1162">
        <f>IF(1*ISERROR(VLOOKUP(Z119,K76:Y85,15,FALSE)-30)=1,0,VLOOKUP(Z119,K76:Y85,15,FALSE)-30)</f>
        <v>0</v>
      </c>
      <c r="CA119" s="1162">
        <f>IF(1*ISERROR(VLOOKUP(Z119,M76:Y85,13,FALSE)-30)=1,0,VLOOKUP(Z119,M76:Y85,13,FALSE)-30)</f>
        <v>0</v>
      </c>
      <c r="CB119" s="1162">
        <f>IF(1*ISERROR(VLOOKUP(Z119,O76:Y85,11,FALSE)-30)=1,0,VLOOKUP(Z119,O76:Y85,11,FALSE)-30)</f>
        <v>0</v>
      </c>
      <c r="CC119" s="1162">
        <f>IF(1*ISERROR(VLOOKUP(Z119,Q76:Y85,9,FALSE)-30)=1,0,VLOOKUP(Z119,Q76:Y85,9,FALSE)-30)</f>
        <v>0</v>
      </c>
      <c r="CD119" s="1162">
        <f>IF(1*ISERROR(VLOOKUP(Z119,S76:Y85,7,FALSE)-30)=1,0,VLOOKUP(Z119,S76:Y85,7,FALSE)-30)</f>
        <v>0</v>
      </c>
      <c r="CE119" s="1162">
        <f>IF(1*ISERROR(VLOOKUP(Z119,U76:Y85,5,FALSE)-30)=1,0,VLOOKUP(Z119,U76:Y85,5,FALSE)-30)</f>
        <v>0</v>
      </c>
      <c r="CF119" s="1163">
        <f t="shared" si="21"/>
        <v>0</v>
      </c>
      <c r="CG119" s="1162">
        <f t="shared" si="14"/>
        <v>0</v>
      </c>
      <c r="CH119" s="1162">
        <f t="shared" si="15"/>
        <v>35</v>
      </c>
      <c r="CI119" s="1162">
        <f>IF(CH119=35,35,CH119+COUNTIF(CH$98:CH118,CH119)/COUNTIF(CH$98:CH$132,CH119))</f>
        <v>35</v>
      </c>
      <c r="CJ119" s="1162">
        <f t="shared" si="16"/>
        <v>20</v>
      </c>
      <c r="CK119" s="1162" t="s">
        <v>412</v>
      </c>
      <c r="CL119" s="1162">
        <f>IF(1*ISERROR(VLOOKUP(Z119,C86:Y95,23,FALSE)-40)=1,0,VLOOKUP(Z119,C86:Y95,23,FALSE)-40)</f>
        <v>0</v>
      </c>
      <c r="CM119" s="1162">
        <f>IF(1*ISERROR(VLOOKUP(Z119,E86:Y95,21,FALSE)-40)=1,0,VLOOKUP(Z119,E86:Y95,21,FALSE)-40)</f>
        <v>0</v>
      </c>
      <c r="CN119" s="1162">
        <f>IF(1*ISERROR(VLOOKUP(Z119,G86:Y95,19,FALSE)-40)=1,0,VLOOKUP(Z119,G86:Y95,19,FALSE)-40)</f>
        <v>0</v>
      </c>
      <c r="CO119" s="1162">
        <f>IF(1*ISERROR(VLOOKUP(Z119,I86:Y95,17,FALSE)-40)=1,0,VLOOKUP(Z119,I86:Y95,17,FALSE)-40)</f>
        <v>0</v>
      </c>
      <c r="CP119" s="1162">
        <f>IF(1*ISERROR(VLOOKUP(Z119,K86:Y95,15,FALSE)-40)=1,0,VLOOKUP(Z119,K86:Y95,15,FALSE)-40)</f>
        <v>0</v>
      </c>
      <c r="CQ119" s="1162">
        <f>IF(1*ISERROR(VLOOKUP(Z119,M86:Y95,13,FALSE)-40)=1,0,VLOOKUP(Z119,M86:Y95,13,FALSE)-40)</f>
        <v>0</v>
      </c>
      <c r="CR119" s="1162">
        <f>IF(1*ISERROR(VLOOKUP(Z119,O86:Y95,11,FALSE)-40)=1,0,VLOOKUP(Z119,O86:Y95,11,FALSE)-40)</f>
        <v>0</v>
      </c>
      <c r="CS119" s="1162">
        <f>IF(1*ISERROR(VLOOKUP(Z119,Q86:Y95,9,FALSE)-40)=1,0,VLOOKUP(Z119,Q86:Y95,9,FALSE)-40)</f>
        <v>0</v>
      </c>
      <c r="CT119" s="1162">
        <f>IF(1*ISERROR(VLOOKUP(Z119,S86:Y95,7,FALSE)-40)=1,0,VLOOKUP(Z119,S86:Y95,7,FALSE)-40)</f>
        <v>0</v>
      </c>
      <c r="CU119" s="1162">
        <f>IF(1*ISERROR(VLOOKUP(Z119,U86:Y95,5,FALSE)-40)=1,0,VLOOKUP(Z119,U86:Y95,5,FALSE)-40)</f>
        <v>0</v>
      </c>
      <c r="CV119" s="1162">
        <v>0</v>
      </c>
      <c r="CW119" s="1162">
        <f t="shared" si="17"/>
        <v>0</v>
      </c>
      <c r="CX119" s="1162">
        <f>IF(CW119=0,35,_xlfn.RANK.EQ(CW119,CW98:CW132))</f>
        <v>35</v>
      </c>
      <c r="CY119" s="1162">
        <f>IF(CX119=35,35,CX119+COUNTIF(CX$98:CX118,CX119)/COUNTIF(CX$98:CX$132,CX119))</f>
        <v>35</v>
      </c>
      <c r="CZ119" s="1162">
        <f t="shared" si="18"/>
        <v>13</v>
      </c>
      <c r="DA119" s="1162" t="s">
        <v>412</v>
      </c>
      <c r="DB119" s="834"/>
      <c r="DC119" s="834"/>
      <c r="DD119" s="839"/>
      <c r="DE119" s="1098"/>
      <c r="DF119" s="1098"/>
      <c r="DG119" s="1098"/>
      <c r="DH119" s="1098"/>
      <c r="DI119" s="1098"/>
      <c r="DJ119" s="1098"/>
      <c r="DK119" s="1098"/>
      <c r="DL119" s="1098"/>
      <c r="DM119" s="1098"/>
      <c r="DN119" s="1098"/>
      <c r="DO119" s="1098"/>
    </row>
    <row r="120" spans="25:119" s="1086" customFormat="1">
      <c r="Y120" s="1113">
        <f t="shared" si="23"/>
        <v>23</v>
      </c>
      <c r="Z120" s="1162" t="s">
        <v>401</v>
      </c>
      <c r="AA120" s="1162">
        <f>IF(1*ISERROR(VLOOKUP(Z120,C46:Y55,23,FALSE))=1,0,VLOOKUP(Z120,C46:Y55,23,FALSE))</f>
        <v>0</v>
      </c>
      <c r="AB120" s="1162">
        <f>IF(1*ISERROR(VLOOKUP(Z120,E46:Y55,21,FALSE))=1,0,VLOOKUP(Z120,E46:Y55,21,FALSE))</f>
        <v>0</v>
      </c>
      <c r="AC120" s="1162">
        <f>IF(1*ISERROR(VLOOKUP(Z120,G46:Y55,19,FALSE))=1,0,VLOOKUP(Z120,G46:Y55,19,FALSE))</f>
        <v>0</v>
      </c>
      <c r="AD120" s="1162">
        <f>IF(1*ISERROR(VLOOKUP(Z120,I46:Y55,17,FALSE))=1,0,VLOOKUP(Z120,I46:Y55,17,FALSE))</f>
        <v>0</v>
      </c>
      <c r="AE120" s="1162">
        <f>IF(1*ISERROR(VLOOKUP(Z120,K46:Y55,15,FALSE))=1,0,VLOOKUP(Z120,K46:Y55,15,FALSE))</f>
        <v>0</v>
      </c>
      <c r="AF120" s="1162">
        <f>IF(1*ISERROR(VLOOKUP(Z120,M46:Y55,13,FALSE))=1,0,VLOOKUP(Z120,M46:Y55,13,FALSE))</f>
        <v>0</v>
      </c>
      <c r="AG120" s="1162">
        <f>IF(1*ISERROR(VLOOKUP(Z120,O46:Y55,11,FALSE))=1,0,VLOOKUP(Z120,O46:Y55,11,FALSE))</f>
        <v>0</v>
      </c>
      <c r="AH120" s="1162">
        <f>IF(1*ISERROR(VLOOKUP(Z120,Q46:Y55,9,FALSE))=1,0,VLOOKUP(Z120,Q46:Y55,9,FALSE))</f>
        <v>0</v>
      </c>
      <c r="AI120" s="1162">
        <f>IF(1*ISERROR(VLOOKUP(Z120,S46:Y55,7,FALSE))=1,0,VLOOKUP(Z120,S46:Y55,7,FALSE))</f>
        <v>0</v>
      </c>
      <c r="AJ120" s="1162">
        <f>IF(1*ISERROR(VLOOKUP(Z120,U46:Y55,5,FALSE))=1,0,VLOOKUP(Z120,U46:Y55,5,FALSE))</f>
        <v>0</v>
      </c>
      <c r="AK120" s="1162">
        <f t="shared" si="22"/>
        <v>0</v>
      </c>
      <c r="AL120" s="1162">
        <f t="shared" si="8"/>
        <v>0</v>
      </c>
      <c r="AM120" s="1162">
        <f>IF(AL120=0,35,_xlfn.RANK.EQ(AL120,AL98:AL132))</f>
        <v>35</v>
      </c>
      <c r="AN120" s="1162">
        <f>IF(AM120=35,35,AM120+COUNTIF(AM$98:AM119,AM120)/COUNTIF(AM$98:AM$132,AM120))</f>
        <v>35</v>
      </c>
      <c r="AO120" s="1162">
        <f t="shared" si="9"/>
        <v>13</v>
      </c>
      <c r="AP120" s="1162" t="s">
        <v>401</v>
      </c>
      <c r="AQ120" s="1162">
        <f>IF(1*ISERROR(VLOOKUP(Z120,C56:Y65,23,FALSE)-10)=1,0,VLOOKUP(Z120,C56:Y65,23,FALSE)-10)</f>
        <v>0</v>
      </c>
      <c r="AR120" s="1162">
        <f>IF(1*ISERROR(VLOOKUP(Z120,E56:Y65,21,FALSE)-10)=1,0,VLOOKUP(Z120,E56:Y65,21,FALSE)-10)</f>
        <v>0</v>
      </c>
      <c r="AS120" s="1162">
        <f>IF(1*ISERROR(VLOOKUP(Z120,G56:Y65,19,FALSE)-10)=1,0,VLOOKUP(Z120,G56:Y65,19,FALSE)-10)</f>
        <v>0</v>
      </c>
      <c r="AT120" s="1162">
        <f>IF(1*ISERROR(VLOOKUP(Z120,I56:Y65,17,FALSE)-10)=1,0,VLOOKUP(Z120,I56:Y65,17,FALSE)-10)</f>
        <v>0</v>
      </c>
      <c r="AU120" s="1162">
        <f>IF(1*ISERROR(VLOOKUP(Z120,K56:Y65,15,FALSE)-10)=1,0,VLOOKUP(Z120,K56:Y65,15,FALSE)-10)</f>
        <v>0</v>
      </c>
      <c r="AV120" s="1162">
        <f>IF(1*ISERROR(VLOOKUP(Z120,M56:Y65,13,FALSE)-10)=1,0,VLOOKUP(Z120,M56:Y65,13,FALSE)-10)</f>
        <v>0</v>
      </c>
      <c r="AW120" s="1162">
        <f>IF(1*ISERROR(VLOOKUP(Z120,O56:Y65,11,FALSE)-10)=1,0,VLOOKUP(Z120,O56:Y65,11,FALSE)-10)</f>
        <v>0</v>
      </c>
      <c r="AX120" s="1162">
        <f>IF(1*ISERROR(VLOOKUP(Z120,Q56:Y65,9,FALSE)-10)=1,0,VLOOKUP(Z120,Q56:Y65,9,FALSE)-10)</f>
        <v>0</v>
      </c>
      <c r="AY120" s="1162">
        <f>IF(1*ISERROR(VLOOKUP(Z120,S56:Y65,7,FALSE)-10)=1,0,VLOOKUP(Z120,S56:Y65,7,FALSE)-10)</f>
        <v>0</v>
      </c>
      <c r="AZ120" s="1163">
        <f>IF(1*ISERROR(VLOOKUP(Z120,U56:Y65,5,FALSE)-10)=1,0,VLOOKUP(Z120,U56:Y65,5,FALSE)-10)</f>
        <v>0</v>
      </c>
      <c r="BA120" s="1162">
        <f t="shared" si="10"/>
        <v>0</v>
      </c>
      <c r="BB120" s="1162">
        <f>IF(BA120=0,35,_xlfn.RANK.EQ(BA120,BA98:BA132))</f>
        <v>35</v>
      </c>
      <c r="BC120" s="1162">
        <f>IF(BB120=35,35,BB120+COUNTIF(BB$98:BB119,BB120)/COUNTIF(BB$98:BB$132,BB120))</f>
        <v>35</v>
      </c>
      <c r="BD120" s="1162">
        <f t="shared" si="11"/>
        <v>13</v>
      </c>
      <c r="BE120" s="1162" t="s">
        <v>401</v>
      </c>
      <c r="BF120" s="1162">
        <f>IF(1*ISERROR(VLOOKUP(Z120,C66:Y75,23,FALSE)-20)=1,0,VLOOKUP(Z120,C66:Y75,23,FALSE)-20)</f>
        <v>0</v>
      </c>
      <c r="BG120" s="1162">
        <f>IF(1*ISERROR(VLOOKUP(Z120,E66:Y75,21,FALSE)-20)=1,0,VLOOKUP(Z120,E66:Y75,21,FALSE)-20)</f>
        <v>0</v>
      </c>
      <c r="BH120" s="1162">
        <f>IF(1*ISERROR(VLOOKUP(Z120,G66:Y75,19,FALSE)-20)=1,0,VLOOKUP(Z120,G66:Y75,19,FALSE)-20)</f>
        <v>0</v>
      </c>
      <c r="BI120" s="1162">
        <f>IF(1*ISERROR(VLOOKUP(Z120,I66:Y75,17,FALSE)-20)=1,0,VLOOKUP(Z120,I66:Y75,17,FALSE)-20)</f>
        <v>0</v>
      </c>
      <c r="BJ120" s="1162">
        <f>IF(1*ISERROR(VLOOKUP(Z120,K66:Y75,15,FALSE)-20)=1,0,VLOOKUP(Z120,K66:Y75,15,FALSE)-20)</f>
        <v>0</v>
      </c>
      <c r="BK120" s="1162">
        <f>IF(1*ISERROR(VLOOKUP(Z120,M66:Y75,13,FALSE)-20)=1,0,VLOOKUP(Z120,M66:Y75,13,FALSE)-20)</f>
        <v>0</v>
      </c>
      <c r="BL120" s="1162">
        <f>IF(1*ISERROR(VLOOKUP(Z120,O66:Y75,11,FALSE)-20)=1,0,VLOOKUP(Z120,O66:Y75,11,FALSE)-20)</f>
        <v>0</v>
      </c>
      <c r="BM120" s="1162">
        <f>IF(1*ISERROR(VLOOKUP(Z120,Q66:Y75,9,FALSE)-20)=1,0,VLOOKUP(Z120,Q66:Y75,9,FALSE)-20)</f>
        <v>0</v>
      </c>
      <c r="BN120" s="1162">
        <f>IF(1*ISERROR(VLOOKUP(Z120,S66:Y75,7,FALSE)-20)=1,0,VLOOKUP(Z120,S66:Y75,7,FALSE)-20)</f>
        <v>0</v>
      </c>
      <c r="BO120" s="1162">
        <f>IF(1*ISERROR(VLOOKUP(Z120,U66:Y75,5,FALSE)-20)=1,0,VLOOKUP(Z120,U66:Y75,5,FALSE)-20)</f>
        <v>0</v>
      </c>
      <c r="BP120" s="1162">
        <f t="shared" si="20"/>
        <v>0</v>
      </c>
      <c r="BQ120" s="1162">
        <f t="shared" si="12"/>
        <v>0</v>
      </c>
      <c r="BR120" s="1162">
        <f>IF(BQ120=0,35,_xlfn.RANK.EQ(BQ120,BQ98:BQ132))</f>
        <v>35</v>
      </c>
      <c r="BS120" s="1162">
        <f>IF(BR120=35,35,BR120+COUNTIF(BR$98:BR119,BR120)/COUNTIF(BR$98:BR$132,BR120))</f>
        <v>35</v>
      </c>
      <c r="BT120" s="1162">
        <f t="shared" si="13"/>
        <v>13</v>
      </c>
      <c r="BU120" s="1162" t="s">
        <v>401</v>
      </c>
      <c r="BV120" s="1162">
        <f>IF(1*ISERROR(VLOOKUP(Z120,C76:Y85,23,FALSE)-30)=1,0,VLOOKUP(Z120,C76:Y85,23,FALSE)-30)</f>
        <v>0</v>
      </c>
      <c r="BW120" s="1162">
        <f>IF(1*ISERROR(VLOOKUP(Z120,E76:Y85,21,FALSE)-30)=1,0,VLOOKUP(Z120,E76:Y85,21,FALSE)-30)</f>
        <v>0</v>
      </c>
      <c r="BX120" s="1162">
        <f>IF(1*ISERROR(VLOOKUP(Z120,G76:Y85,19,FALSE)-30)=1,0,VLOOKUP(Z120,G76:Y85,19,FALSE)-30)</f>
        <v>0</v>
      </c>
      <c r="BY120" s="1162">
        <f>IF(1*ISERROR(VLOOKUP(Z120,I76:Y85,17,FALSE)-30)=1,0,VLOOKUP(Z120,I76:Y85,17,FALSE)-30)</f>
        <v>0</v>
      </c>
      <c r="BZ120" s="1162">
        <f>IF(1*ISERROR(VLOOKUP(Z120,K76:Y85,15,FALSE)-30)=1,0,VLOOKUP(Z120,K76:Y85,15,FALSE)-30)</f>
        <v>0</v>
      </c>
      <c r="CA120" s="1162">
        <f>IF(1*ISERROR(VLOOKUP(Z120,M76:Y85,13,FALSE)-30)=1,0,VLOOKUP(Z120,M76:Y85,13,FALSE)-30)</f>
        <v>0</v>
      </c>
      <c r="CB120" s="1162">
        <f>IF(1*ISERROR(VLOOKUP(Z120,O76:Y85,11,FALSE)-30)=1,0,VLOOKUP(Z120,O76:Y85,11,FALSE)-30)</f>
        <v>0</v>
      </c>
      <c r="CC120" s="1162">
        <f>IF(1*ISERROR(VLOOKUP(Z120,Q76:Y85,9,FALSE)-30)=1,0,VLOOKUP(Z120,Q76:Y85,9,FALSE)-30)</f>
        <v>9</v>
      </c>
      <c r="CD120" s="1162">
        <f>IF(1*ISERROR(VLOOKUP(Z120,S76:Y85,7,FALSE)-30)=1,0,VLOOKUP(Z120,S76:Y85,7,FALSE)-30)</f>
        <v>7</v>
      </c>
      <c r="CE120" s="1162">
        <f>IF(1*ISERROR(VLOOKUP(Z120,U76:Y85,5,FALSE)-30)=1,0,VLOOKUP(Z120,U76:Y85,5,FALSE)-30)</f>
        <v>0</v>
      </c>
      <c r="CF120" s="1163">
        <v>7</v>
      </c>
      <c r="CG120" s="1162">
        <f t="shared" si="14"/>
        <v>16</v>
      </c>
      <c r="CH120" s="1162">
        <f t="shared" si="15"/>
        <v>13</v>
      </c>
      <c r="CI120" s="1162">
        <f>IF(CH120=35,35,CH120+COUNTIF(CH$98:CH119,CH120)/COUNTIF(CH$98:CH$132,CH120))</f>
        <v>13</v>
      </c>
      <c r="CJ120" s="1162">
        <f t="shared" si="16"/>
        <v>13</v>
      </c>
      <c r="CK120" s="1162" t="s">
        <v>401</v>
      </c>
      <c r="CL120" s="1162">
        <f>IF(1*ISERROR(VLOOKUP(Z120,C86:Y95,23,FALSE)-40)=1,0,VLOOKUP(Z120,C86:Y95,23,FALSE)-40)</f>
        <v>0</v>
      </c>
      <c r="CM120" s="1162">
        <f>IF(1*ISERROR(VLOOKUP(Z120,E86:Y95,21,FALSE)-40)=1,0,VLOOKUP(Z120,E86:Y95,21,FALSE)-40)</f>
        <v>0</v>
      </c>
      <c r="CN120" s="1162">
        <f>IF(1*ISERROR(VLOOKUP(Z120,G86:Y95,19,FALSE)-40)=1,0,VLOOKUP(Z120,G86:Y95,19,FALSE)-40)</f>
        <v>0</v>
      </c>
      <c r="CO120" s="1162">
        <f>IF(1*ISERROR(VLOOKUP(Z120,I86:Y95,17,FALSE)-40)=1,0,VLOOKUP(Z120,I86:Y95,17,FALSE)-40)</f>
        <v>0</v>
      </c>
      <c r="CP120" s="1162">
        <f>IF(1*ISERROR(VLOOKUP(Z120,K86:Y95,15,FALSE)-40)=1,0,VLOOKUP(Z120,K86:Y95,15,FALSE)-40)</f>
        <v>0</v>
      </c>
      <c r="CQ120" s="1162">
        <f>IF(1*ISERROR(VLOOKUP(Z120,M86:Y95,13,FALSE)-40)=1,0,VLOOKUP(Z120,M86:Y95,13,FALSE)-40)</f>
        <v>0</v>
      </c>
      <c r="CR120" s="1162">
        <f>IF(1*ISERROR(VLOOKUP(Z120,O86:Y95,11,FALSE)-40)=1,0,VLOOKUP(Z120,O86:Y95,11,FALSE)-40)</f>
        <v>0</v>
      </c>
      <c r="CS120" s="1162">
        <f>IF(1*ISERROR(VLOOKUP(Z120,Q86:Y95,9,FALSE)-40)=1,0,VLOOKUP(Z120,Q86:Y95,9,FALSE)-40)</f>
        <v>0</v>
      </c>
      <c r="CT120" s="1162">
        <f>IF(1*ISERROR(VLOOKUP(Z120,S86:Y95,7,FALSE)-40)=1,0,VLOOKUP(Z120,S86:Y95,7,FALSE)-40)</f>
        <v>0</v>
      </c>
      <c r="CU120" s="1162">
        <f>IF(1*ISERROR(VLOOKUP(Z120,U86:Y95,5,FALSE)-40)=1,0,VLOOKUP(Z120,U86:Y95,5,FALSE)-40)</f>
        <v>0</v>
      </c>
      <c r="CV120" s="1162">
        <v>0</v>
      </c>
      <c r="CW120" s="1162">
        <f t="shared" si="17"/>
        <v>0</v>
      </c>
      <c r="CX120" s="1162">
        <f>IF(CW120=0,35,_xlfn.RANK.EQ(CW120,CW98:CW132))</f>
        <v>35</v>
      </c>
      <c r="CY120" s="1162">
        <f>IF(CX120=35,35,CX120+COUNTIF(CX$98:CX119,CX120)/COUNTIF(CX$98:CX$132,CX120))</f>
        <v>35</v>
      </c>
      <c r="CZ120" s="1162">
        <f t="shared" si="18"/>
        <v>13</v>
      </c>
      <c r="DA120" s="1162" t="s">
        <v>401</v>
      </c>
      <c r="DB120" s="834"/>
      <c r="DC120" s="834"/>
      <c r="DD120" s="839"/>
      <c r="DE120" s="1098"/>
      <c r="DF120" s="1098"/>
      <c r="DG120" s="1098"/>
      <c r="DH120" s="1098"/>
      <c r="DI120" s="1098"/>
      <c r="DJ120" s="1098"/>
      <c r="DK120" s="1098"/>
      <c r="DL120" s="1098"/>
      <c r="DM120" s="1098"/>
      <c r="DN120" s="1098"/>
      <c r="DO120" s="1098"/>
    </row>
    <row r="121" spans="25:119" s="1086" customFormat="1">
      <c r="Y121" s="1113">
        <f t="shared" si="23"/>
        <v>24</v>
      </c>
      <c r="Z121" s="1162" t="s">
        <v>413</v>
      </c>
      <c r="AA121" s="1162">
        <f>IF(1*ISERROR(VLOOKUP(Z121,C46:Y55,23,FALSE))=1,0,VLOOKUP(Z121,C46:Y55,23,FALSE))</f>
        <v>0</v>
      </c>
      <c r="AB121" s="1162">
        <f>IF(1*ISERROR(VLOOKUP(Z121,E46:Y55,21,FALSE))=1,0,VLOOKUP(Z121,E46:Y55,21,FALSE))</f>
        <v>0</v>
      </c>
      <c r="AC121" s="1162">
        <f>IF(1*ISERROR(VLOOKUP(Z121,G46:Y55,19,FALSE))=1,0,VLOOKUP(Z121,G46:Y55,19,FALSE))</f>
        <v>0</v>
      </c>
      <c r="AD121" s="1162">
        <f>IF(1*ISERROR(VLOOKUP(Z121,I46:Y55,17,FALSE))=1,0,VLOOKUP(Z121,I46:Y55,17,FALSE))</f>
        <v>0</v>
      </c>
      <c r="AE121" s="1162">
        <f>IF(1*ISERROR(VLOOKUP(Z121,K46:Y55,15,FALSE))=1,0,VLOOKUP(Z121,K46:Y55,15,FALSE))</f>
        <v>0</v>
      </c>
      <c r="AF121" s="1162">
        <f>IF(1*ISERROR(VLOOKUP(Z121,M46:Y55,13,FALSE))=1,0,VLOOKUP(Z121,M46:Y55,13,FALSE))</f>
        <v>0</v>
      </c>
      <c r="AG121" s="1162">
        <f>IF(1*ISERROR(VLOOKUP(Z121,O46:Y55,11,FALSE))=1,0,VLOOKUP(Z121,O46:Y55,11,FALSE))</f>
        <v>0</v>
      </c>
      <c r="AH121" s="1162">
        <f>IF(1*ISERROR(VLOOKUP(Z121,Q46:Y55,9,FALSE))=1,0,VLOOKUP(Z121,Q46:Y55,9,FALSE))</f>
        <v>0</v>
      </c>
      <c r="AI121" s="1162">
        <f>IF(1*ISERROR(VLOOKUP(Z121,S46:Y55,7,FALSE))=1,0,VLOOKUP(Z121,S46:Y55,7,FALSE))</f>
        <v>0</v>
      </c>
      <c r="AJ121" s="1162">
        <f>IF(1*ISERROR(VLOOKUP(Z121,U46:Y55,5,FALSE))=1,0,VLOOKUP(Z121,U46:Y55,5,FALSE))</f>
        <v>0</v>
      </c>
      <c r="AK121" s="1162">
        <f t="shared" si="22"/>
        <v>0</v>
      </c>
      <c r="AL121" s="1162">
        <f t="shared" si="8"/>
        <v>0</v>
      </c>
      <c r="AM121" s="1162">
        <f>IF(AL121=0,35,_xlfn.RANK.EQ(AL121,AL98:AL132))</f>
        <v>35</v>
      </c>
      <c r="AN121" s="1162">
        <f>IF(AM121=35,35,AM121+COUNTIF(AM$98:AM120,AM121)/COUNTIF(AM$98:AM$132,AM121))</f>
        <v>35</v>
      </c>
      <c r="AO121" s="1162">
        <f t="shared" si="9"/>
        <v>13</v>
      </c>
      <c r="AP121" s="1162" t="s">
        <v>413</v>
      </c>
      <c r="AQ121" s="1162">
        <f>IF(1*ISERROR(VLOOKUP(Z121,C56:Y65,23,FALSE)-10)=1,0,VLOOKUP(Z121,C56:Y65,23,FALSE)-10)</f>
        <v>0</v>
      </c>
      <c r="AR121" s="1162">
        <f>IF(1*ISERROR(VLOOKUP(Z121,E56:Y65,21,FALSE)-10)=1,0,VLOOKUP(Z121,E56:Y65,21,FALSE)-10)</f>
        <v>0</v>
      </c>
      <c r="AS121" s="1162">
        <f>IF(1*ISERROR(VLOOKUP(Z121,G56:Y65,19,FALSE)-10)=1,0,VLOOKUP(Z121,G56:Y65,19,FALSE)-10)</f>
        <v>0</v>
      </c>
      <c r="AT121" s="1162">
        <f>IF(1*ISERROR(VLOOKUP(Z121,I56:Y65,17,FALSE)-10)=1,0,VLOOKUP(Z121,I56:Y65,17,FALSE)-10)</f>
        <v>0</v>
      </c>
      <c r="AU121" s="1162">
        <f>IF(1*ISERROR(VLOOKUP(Z121,K56:Y65,15,FALSE)-10)=1,0,VLOOKUP(Z121,K56:Y65,15,FALSE)-10)</f>
        <v>0</v>
      </c>
      <c r="AV121" s="1162">
        <f>IF(1*ISERROR(VLOOKUP(Z121,M56:Y65,13,FALSE)-10)=1,0,VLOOKUP(Z121,M56:Y65,13,FALSE)-10)</f>
        <v>0</v>
      </c>
      <c r="AW121" s="1162">
        <f>IF(1*ISERROR(VLOOKUP(Z121,O56:Y65,11,FALSE)-10)=1,0,VLOOKUP(Z121,O56:Y65,11,FALSE)-10)</f>
        <v>0</v>
      </c>
      <c r="AX121" s="1162">
        <f>IF(1*ISERROR(VLOOKUP(Z121,Q56:Y65,9,FALSE)-10)=1,0,VLOOKUP(Z121,Q56:Y65,9,FALSE)-10)</f>
        <v>0</v>
      </c>
      <c r="AY121" s="1162">
        <f>IF(1*ISERROR(VLOOKUP(Z121,S56:Y65,7,FALSE)-10)=1,0,VLOOKUP(Z121,S56:Y65,7,FALSE)-10)</f>
        <v>0</v>
      </c>
      <c r="AZ121" s="1163">
        <f>IF(1*ISERROR(VLOOKUP(Z121,U56:Y65,5,FALSE)-10)=1,0,VLOOKUP(Z121,U56:Y65,5,FALSE)-10)</f>
        <v>0</v>
      </c>
      <c r="BA121" s="1162">
        <f t="shared" si="10"/>
        <v>0</v>
      </c>
      <c r="BB121" s="1162">
        <f>IF(BA121=0,35,_xlfn.RANK.EQ(BA121,BA98:BA132))</f>
        <v>35</v>
      </c>
      <c r="BC121" s="1162">
        <f>IF(BB121=35,35,BB121+COUNTIF(BB$98:BB120,BB121)/COUNTIF(BB$98:BB$132,BB121))</f>
        <v>35</v>
      </c>
      <c r="BD121" s="1162">
        <f t="shared" si="11"/>
        <v>13</v>
      </c>
      <c r="BE121" s="1162" t="s">
        <v>413</v>
      </c>
      <c r="BF121" s="1162">
        <f>IF(1*ISERROR(VLOOKUP(Z121,C66:Y75,23,FALSE)-20)=1,0,VLOOKUP(Z121,C66:Y75,23,FALSE)-20)</f>
        <v>0</v>
      </c>
      <c r="BG121" s="1162">
        <f>IF(1*ISERROR(VLOOKUP(Z121,E66:Y75,21,FALSE)-20)=1,0,VLOOKUP(Z121,E66:Y75,21,FALSE)-20)</f>
        <v>0</v>
      </c>
      <c r="BH121" s="1162">
        <f>IF(1*ISERROR(VLOOKUP(Z121,G66:Y75,19,FALSE)-20)=1,0,VLOOKUP(Z121,G66:Y75,19,FALSE)-20)</f>
        <v>0</v>
      </c>
      <c r="BI121" s="1162">
        <f>IF(1*ISERROR(VLOOKUP(Z121,I66:Y75,17,FALSE)-20)=1,0,VLOOKUP(Z121,I66:Y75,17,FALSE)-20)</f>
        <v>0</v>
      </c>
      <c r="BJ121" s="1162">
        <f>IF(1*ISERROR(VLOOKUP(Z121,K66:Y75,15,FALSE)-20)=1,0,VLOOKUP(Z121,K66:Y75,15,FALSE)-20)</f>
        <v>0</v>
      </c>
      <c r="BK121" s="1162">
        <f>IF(1*ISERROR(VLOOKUP(Z121,M66:Y75,13,FALSE)-20)=1,0,VLOOKUP(Z121,M66:Y75,13,FALSE)-20)</f>
        <v>0</v>
      </c>
      <c r="BL121" s="1162">
        <f>IF(1*ISERROR(VLOOKUP(Z121,O66:Y75,11,FALSE)-20)=1,0,VLOOKUP(Z121,O66:Y75,11,FALSE)-20)</f>
        <v>0</v>
      </c>
      <c r="BM121" s="1162">
        <f>IF(1*ISERROR(VLOOKUP(Z121,Q66:Y75,9,FALSE)-20)=1,0,VLOOKUP(Z121,Q66:Y75,9,FALSE)-20)</f>
        <v>0</v>
      </c>
      <c r="BN121" s="1162">
        <f>IF(1*ISERROR(VLOOKUP(Z121,S66:Y75,7,FALSE)-20)=1,0,VLOOKUP(Z121,S66:Y75,7,FALSE)-20)</f>
        <v>0</v>
      </c>
      <c r="BO121" s="1162">
        <f>IF(1*ISERROR(VLOOKUP(Z121,U66:Y75,5,FALSE)-20)=1,0,VLOOKUP(Z121,U66:Y75,5,FALSE)-20)</f>
        <v>0</v>
      </c>
      <c r="BP121" s="1162">
        <f t="shared" si="20"/>
        <v>0</v>
      </c>
      <c r="BQ121" s="1162">
        <f t="shared" si="12"/>
        <v>0</v>
      </c>
      <c r="BR121" s="1162">
        <f>IF(BQ121=0,35,_xlfn.RANK.EQ(BQ121,BQ98:BQ132))</f>
        <v>35</v>
      </c>
      <c r="BS121" s="1162">
        <f>IF(BR121=35,35,BR121+COUNTIF(BR$98:BR120,BR121)/COUNTIF(BR$98:BR$132,BR121))</f>
        <v>35</v>
      </c>
      <c r="BT121" s="1162">
        <f t="shared" si="13"/>
        <v>13</v>
      </c>
      <c r="BU121" s="1162" t="s">
        <v>413</v>
      </c>
      <c r="BV121" s="1162">
        <f>IF(1*ISERROR(VLOOKUP(Z121,C76:Y85,23,FALSE)-30)=1,0,VLOOKUP(Z121,C76:Y85,23,FALSE)-30)</f>
        <v>0</v>
      </c>
      <c r="BW121" s="1162">
        <f>IF(1*ISERROR(VLOOKUP(Z121,E76:Y85,21,FALSE)-30)=1,0,VLOOKUP(Z121,E76:Y85,21,FALSE)-30)</f>
        <v>0</v>
      </c>
      <c r="BX121" s="1162">
        <f>IF(1*ISERROR(VLOOKUP(Z121,G76:Y85,19,FALSE)-30)=1,0,VLOOKUP(Z121,G76:Y85,19,FALSE)-30)</f>
        <v>0</v>
      </c>
      <c r="BY121" s="1162">
        <f>IF(1*ISERROR(VLOOKUP(Z121,I76:Y85,17,FALSE)-30)=1,0,VLOOKUP(Z121,I76:Y85,17,FALSE)-30)</f>
        <v>0</v>
      </c>
      <c r="BZ121" s="1162">
        <f>IF(1*ISERROR(VLOOKUP(Z121,K76:Y85,15,FALSE)-30)=1,0,VLOOKUP(Z121,K76:Y85,15,FALSE)-30)</f>
        <v>0</v>
      </c>
      <c r="CA121" s="1162">
        <f>IF(1*ISERROR(VLOOKUP(Z121,M76:Y85,13,FALSE)-30)=1,0,VLOOKUP(Z121,M76:Y85,13,FALSE)-30)</f>
        <v>0</v>
      </c>
      <c r="CB121" s="1162">
        <f>IF(1*ISERROR(VLOOKUP(Z121,O76:Y85,11,FALSE)-30)=1,0,VLOOKUP(Z121,O76:Y85,11,FALSE)-30)</f>
        <v>0</v>
      </c>
      <c r="CC121" s="1162">
        <f>IF(1*ISERROR(VLOOKUP(Z121,Q76:Y85,9,FALSE)-30)=1,0,VLOOKUP(Z121,Q76:Y85,9,FALSE)-30)</f>
        <v>0</v>
      </c>
      <c r="CD121" s="1162">
        <f>IF(1*ISERROR(VLOOKUP(Z121,S76:Y85,7,FALSE)-30)=1,0,VLOOKUP(Z121,S76:Y85,7,FALSE)-30)</f>
        <v>0</v>
      </c>
      <c r="CE121" s="1162">
        <f>IF(1*ISERROR(VLOOKUP(Z121,U76:Y85,5,FALSE)-30)=1,0,VLOOKUP(Z121,U76:Y85,5,FALSE)-30)</f>
        <v>0</v>
      </c>
      <c r="CF121" s="1163">
        <f t="shared" si="21"/>
        <v>0</v>
      </c>
      <c r="CG121" s="1162">
        <f t="shared" si="14"/>
        <v>0</v>
      </c>
      <c r="CH121" s="1162">
        <f t="shared" si="15"/>
        <v>35</v>
      </c>
      <c r="CI121" s="1162">
        <f>IF(CH121=35,35,CH121+COUNTIF(CH$98:CH120,CH121)/COUNTIF(CH$98:CH$132,CH121))</f>
        <v>35</v>
      </c>
      <c r="CJ121" s="1162">
        <f t="shared" si="16"/>
        <v>20</v>
      </c>
      <c r="CK121" s="1162" t="s">
        <v>413</v>
      </c>
      <c r="CL121" s="1162">
        <f>IF(1*ISERROR(VLOOKUP(Z121,C86:Y95,23,FALSE)-40)=1,0,VLOOKUP(Z121,C86:Y95,23,FALSE)-40)</f>
        <v>0</v>
      </c>
      <c r="CM121" s="1162">
        <f>IF(1*ISERROR(VLOOKUP(Z121,E86:Y95,21,FALSE)-40)=1,0,VLOOKUP(Z121,E86:Y95,21,FALSE)-40)</f>
        <v>0</v>
      </c>
      <c r="CN121" s="1162">
        <f>IF(1*ISERROR(VLOOKUP(Z121,G86:Y95,19,FALSE)-40)=1,0,VLOOKUP(Z121,G86:Y95,19,FALSE)-40)</f>
        <v>0</v>
      </c>
      <c r="CO121" s="1162">
        <f>IF(1*ISERROR(VLOOKUP(Z121,I86:Y95,17,FALSE)-40)=1,0,VLOOKUP(Z121,I86:Y95,17,FALSE)-40)</f>
        <v>0</v>
      </c>
      <c r="CP121" s="1162">
        <f>IF(1*ISERROR(VLOOKUP(Z121,K86:Y95,15,FALSE)-40)=1,0,VLOOKUP(Z121,K86:Y95,15,FALSE)-40)</f>
        <v>0</v>
      </c>
      <c r="CQ121" s="1162">
        <f>IF(1*ISERROR(VLOOKUP(Z121,M86:Y95,13,FALSE)-40)=1,0,VLOOKUP(Z121,M86:Y95,13,FALSE)-40)</f>
        <v>0</v>
      </c>
      <c r="CR121" s="1162">
        <f>IF(1*ISERROR(VLOOKUP(Z121,O86:Y95,11,FALSE)-40)=1,0,VLOOKUP(Z121,O86:Y95,11,FALSE)-40)</f>
        <v>0</v>
      </c>
      <c r="CS121" s="1162">
        <f>IF(1*ISERROR(VLOOKUP(Z121,Q86:Y95,9,FALSE)-40)=1,0,VLOOKUP(Z121,Q86:Y95,9,FALSE)-40)</f>
        <v>0</v>
      </c>
      <c r="CT121" s="1162">
        <f>IF(1*ISERROR(VLOOKUP(Z121,S86:Y95,7,FALSE)-40)=1,0,VLOOKUP(Z121,S86:Y95,7,FALSE)-40)</f>
        <v>0</v>
      </c>
      <c r="CU121" s="1162">
        <f>IF(1*ISERROR(VLOOKUP(Z121,U86:Y95,5,FALSE)-40)=1,0,VLOOKUP(Z121,U86:Y95,5,FALSE)-40)</f>
        <v>0</v>
      </c>
      <c r="CV121" s="1162">
        <v>0</v>
      </c>
      <c r="CW121" s="1162">
        <f t="shared" si="17"/>
        <v>0</v>
      </c>
      <c r="CX121" s="1162">
        <f>IF(CW121=0,35,_xlfn.RANK.EQ(CW121,CW98:CW132))</f>
        <v>35</v>
      </c>
      <c r="CY121" s="1162">
        <f>IF(CX121=35,35,CX121+COUNTIF(CX$98:CX120,CX121)/COUNTIF(CX$98:CX$132,CX121))</f>
        <v>35</v>
      </c>
      <c r="CZ121" s="1162">
        <f t="shared" si="18"/>
        <v>13</v>
      </c>
      <c r="DA121" s="1162" t="s">
        <v>413</v>
      </c>
      <c r="DB121" s="834"/>
      <c r="DC121" s="834"/>
      <c r="DD121" s="839"/>
      <c r="DE121" s="1098"/>
      <c r="DF121" s="1098"/>
      <c r="DG121" s="1098"/>
      <c r="DH121" s="1098"/>
      <c r="DI121" s="1098"/>
      <c r="DJ121" s="1098"/>
      <c r="DK121" s="1098"/>
      <c r="DL121" s="1098"/>
      <c r="DM121" s="1098"/>
      <c r="DN121" s="1098"/>
      <c r="DO121" s="1098"/>
    </row>
    <row r="122" spans="25:119" s="1086" customFormat="1">
      <c r="Y122" s="1113">
        <f t="shared" si="23"/>
        <v>25</v>
      </c>
      <c r="Z122" s="1162" t="s">
        <v>393</v>
      </c>
      <c r="AA122" s="1162">
        <f>IF(1*ISERROR(VLOOKUP(Z122,C46:Y55,23,FALSE))=1,0,VLOOKUP(Z122,C46:Y55,23,FALSE))</f>
        <v>0</v>
      </c>
      <c r="AB122" s="1162">
        <f>IF(1*ISERROR(VLOOKUP(Z122,E46:Y55,21,FALSE))=1,0,VLOOKUP(Z122,E46:Y55,21,FALSE))</f>
        <v>0</v>
      </c>
      <c r="AC122" s="1162">
        <f>IF(1*ISERROR(VLOOKUP(Z122,G46:Y55,19,FALSE))=1,0,VLOOKUP(Z122,G46:Y55,19,FALSE))</f>
        <v>0</v>
      </c>
      <c r="AD122" s="1162">
        <f>IF(1*ISERROR(VLOOKUP(Z122,I46:Y55,17,FALSE))=1,0,VLOOKUP(Z122,I46:Y55,17,FALSE))</f>
        <v>0</v>
      </c>
      <c r="AE122" s="1162">
        <f>IF(1*ISERROR(VLOOKUP(Z122,K46:Y55,15,FALSE))=1,0,VLOOKUP(Z122,K46:Y55,15,FALSE))</f>
        <v>0</v>
      </c>
      <c r="AF122" s="1162">
        <f>IF(1*ISERROR(VLOOKUP(Z122,M46:Y55,13,FALSE))=1,0,VLOOKUP(Z122,M46:Y55,13,FALSE))</f>
        <v>0</v>
      </c>
      <c r="AG122" s="1162">
        <f>IF(1*ISERROR(VLOOKUP(Z122,O46:Y55,11,FALSE))=1,0,VLOOKUP(Z122,O46:Y55,11,FALSE))</f>
        <v>0</v>
      </c>
      <c r="AH122" s="1162">
        <f>IF(1*ISERROR(VLOOKUP(Z122,Q46:Y55,9,FALSE))=1,0,VLOOKUP(Z122,Q46:Y55,9,FALSE))</f>
        <v>0</v>
      </c>
      <c r="AI122" s="1162">
        <f>IF(1*ISERROR(VLOOKUP(Z122,S46:Y55,7,FALSE))=1,0,VLOOKUP(Z122,S46:Y55,7,FALSE))</f>
        <v>0</v>
      </c>
      <c r="AJ122" s="1162">
        <f>IF(1*ISERROR(VLOOKUP(Z122,U46:Y55,5,FALSE))=1,0,VLOOKUP(Z122,U46:Y55,5,FALSE))</f>
        <v>0</v>
      </c>
      <c r="AK122" s="1162">
        <f t="shared" si="22"/>
        <v>0</v>
      </c>
      <c r="AL122" s="1162">
        <f t="shared" si="8"/>
        <v>0</v>
      </c>
      <c r="AM122" s="1162">
        <f>IF(AL122=0,35,_xlfn.RANK.EQ(AL122,AL98:AL132))</f>
        <v>35</v>
      </c>
      <c r="AN122" s="1162">
        <f>IF(AM122=35,35,AM122+COUNTIF(AM$98:AM121,AM122)/COUNTIF(AM$98:AM$132,AM122))</f>
        <v>35</v>
      </c>
      <c r="AO122" s="1162">
        <f t="shared" si="9"/>
        <v>13</v>
      </c>
      <c r="AP122" s="1162" t="s">
        <v>393</v>
      </c>
      <c r="AQ122" s="1162">
        <f>IF(1*ISERROR(VLOOKUP(Z122,C56:Y65,23,FALSE)-10)=1,0,VLOOKUP(Z122,C56:Y65,23,FALSE)-10)</f>
        <v>0</v>
      </c>
      <c r="AR122" s="1162">
        <f>IF(1*ISERROR(VLOOKUP(Z122,E56:Y65,21,FALSE)-10)=1,0,VLOOKUP(Z122,E56:Y65,21,FALSE)-10)</f>
        <v>0</v>
      </c>
      <c r="AS122" s="1162">
        <f>IF(1*ISERROR(VLOOKUP(Z122,G56:Y65,19,FALSE)-10)=1,0,VLOOKUP(Z122,G56:Y65,19,FALSE)-10)</f>
        <v>0</v>
      </c>
      <c r="AT122" s="1162">
        <f>IF(1*ISERROR(VLOOKUP(Z122,I56:Y65,17,FALSE)-10)=1,0,VLOOKUP(Z122,I56:Y65,17,FALSE)-10)</f>
        <v>10</v>
      </c>
      <c r="AU122" s="1162">
        <f>IF(1*ISERROR(VLOOKUP(Z122,K56:Y65,15,FALSE)-10)=1,0,VLOOKUP(Z122,K56:Y65,15,FALSE)-10)</f>
        <v>10</v>
      </c>
      <c r="AV122" s="1162">
        <f>IF(1*ISERROR(VLOOKUP(Z122,M56:Y65,13,FALSE)-10)=1,0,VLOOKUP(Z122,M56:Y65,13,FALSE)-10)</f>
        <v>10</v>
      </c>
      <c r="AW122" s="1162">
        <f>IF(1*ISERROR(VLOOKUP(Z122,O56:Y65,11,FALSE)-10)=1,0,VLOOKUP(Z122,O56:Y65,11,FALSE)-10)</f>
        <v>10</v>
      </c>
      <c r="AX122" s="1162">
        <f>IF(1*ISERROR(VLOOKUP(Z122,Q56:Y65,9,FALSE)-10)=1,0,VLOOKUP(Z122,Q56:Y65,9,FALSE)-10)</f>
        <v>9</v>
      </c>
      <c r="AY122" s="1162">
        <f>IF(1*ISERROR(VLOOKUP(Z122,S56:Y65,7,FALSE)-10)=1,0,VLOOKUP(Z122,S56:Y65,7,FALSE)-10)</f>
        <v>9</v>
      </c>
      <c r="AZ122" s="1163">
        <f>IF(1*ISERROR(VLOOKUP(Z122,U56:Y65,5,FALSE)-10)=1,0,VLOOKUP(Z122,U56:Y65,5,FALSE)-10)</f>
        <v>0</v>
      </c>
      <c r="BA122" s="1162">
        <f t="shared" si="10"/>
        <v>58</v>
      </c>
      <c r="BB122" s="1162">
        <f>IF(BA122=0,35,_xlfn.RANK.EQ(BA122,BA98:BA132))</f>
        <v>4</v>
      </c>
      <c r="BC122" s="1162">
        <f>IF(BB122=35,35,BB122+COUNTIF(BB$98:BB121,BB122)/COUNTIF(BB$98:BB$132,BB122))</f>
        <v>4</v>
      </c>
      <c r="BD122" s="1162">
        <f t="shared" si="11"/>
        <v>4</v>
      </c>
      <c r="BE122" s="1162" t="s">
        <v>393</v>
      </c>
      <c r="BF122" s="1162">
        <f>IF(1*ISERROR(VLOOKUP(Z122,C66:Y75,23,FALSE)-20)=1,0,VLOOKUP(Z122,C66:Y75,23,FALSE)-20)</f>
        <v>0</v>
      </c>
      <c r="BG122" s="1162">
        <f>IF(1*ISERROR(VLOOKUP(Z122,E66:Y75,21,FALSE)-20)=1,0,VLOOKUP(Z122,E66:Y75,21,FALSE)-20)</f>
        <v>0</v>
      </c>
      <c r="BH122" s="1162">
        <f>IF(1*ISERROR(VLOOKUP(Z122,G66:Y75,19,FALSE)-20)=1,0,VLOOKUP(Z122,G66:Y75,19,FALSE)-20)</f>
        <v>0</v>
      </c>
      <c r="BI122" s="1162">
        <f>IF(1*ISERROR(VLOOKUP(Z122,I66:Y75,17,FALSE)-20)=1,0,VLOOKUP(Z122,I66:Y75,17,FALSE)-20)</f>
        <v>0</v>
      </c>
      <c r="BJ122" s="1162">
        <f>IF(1*ISERROR(VLOOKUP(Z122,K66:Y75,15,FALSE)-20)=1,0,VLOOKUP(Z122,K66:Y75,15,FALSE)-20)</f>
        <v>0</v>
      </c>
      <c r="BK122" s="1162">
        <f>IF(1*ISERROR(VLOOKUP(Z122,M66:Y75,13,FALSE)-20)=1,0,VLOOKUP(Z122,M66:Y75,13,FALSE)-20)</f>
        <v>0</v>
      </c>
      <c r="BL122" s="1162">
        <f>IF(1*ISERROR(VLOOKUP(Z122,O66:Y75,11,FALSE)-20)=1,0,VLOOKUP(Z122,O66:Y75,11,FALSE)-20)</f>
        <v>0</v>
      </c>
      <c r="BM122" s="1162">
        <f>IF(1*ISERROR(VLOOKUP(Z122,Q66:Y75,9,FALSE)-20)=1,0,VLOOKUP(Z122,Q66:Y75,9,FALSE)-20)</f>
        <v>0</v>
      </c>
      <c r="BN122" s="1162">
        <f>IF(1*ISERROR(VLOOKUP(Z122,S66:Y75,7,FALSE)-20)=1,0,VLOOKUP(Z122,S66:Y75,7,FALSE)-20)</f>
        <v>0</v>
      </c>
      <c r="BO122" s="1162">
        <f>IF(1*ISERROR(VLOOKUP(Z122,U66:Y75,5,FALSE)-20)=1,0,VLOOKUP(Z122,U66:Y75,5,FALSE)-20)</f>
        <v>0</v>
      </c>
      <c r="BP122" s="1162">
        <f t="shared" si="20"/>
        <v>0</v>
      </c>
      <c r="BQ122" s="1162">
        <f t="shared" si="12"/>
        <v>0</v>
      </c>
      <c r="BR122" s="1162">
        <f>IF(BQ122=0,35,_xlfn.RANK.EQ(BQ122,BQ98:BQ132))</f>
        <v>35</v>
      </c>
      <c r="BS122" s="1162">
        <f>IF(BR122=35,35,BR122+COUNTIF(BR$98:BR121,BR122)/COUNTIF(BR$98:BR$132,BR122))</f>
        <v>35</v>
      </c>
      <c r="BT122" s="1162">
        <f t="shared" si="13"/>
        <v>13</v>
      </c>
      <c r="BU122" s="1162" t="s">
        <v>393</v>
      </c>
      <c r="BV122" s="1162">
        <f>IF(1*ISERROR(VLOOKUP(Z122,C76:Y85,23,FALSE)-30)=1,0,VLOOKUP(Z122,C76:Y85,23,FALSE)-30)</f>
        <v>0</v>
      </c>
      <c r="BW122" s="1162">
        <f>IF(1*ISERROR(VLOOKUP(Z122,E76:Y85,21,FALSE)-30)=1,0,VLOOKUP(Z122,E76:Y85,21,FALSE)-30)</f>
        <v>0</v>
      </c>
      <c r="BX122" s="1162">
        <f>IF(1*ISERROR(VLOOKUP(Z122,G76:Y85,19,FALSE)-30)=1,0,VLOOKUP(Z122,G76:Y85,19,FALSE)-30)</f>
        <v>0</v>
      </c>
      <c r="BY122" s="1162">
        <f>IF(1*ISERROR(VLOOKUP(Z122,I76:Y85,17,FALSE)-30)=1,0,VLOOKUP(Z122,I76:Y85,17,FALSE)-30)</f>
        <v>0</v>
      </c>
      <c r="BZ122" s="1162">
        <f>IF(1*ISERROR(VLOOKUP(Z122,K76:Y85,15,FALSE)-30)=1,0,VLOOKUP(Z122,K76:Y85,15,FALSE)-30)</f>
        <v>0</v>
      </c>
      <c r="CA122" s="1162">
        <f>IF(1*ISERROR(VLOOKUP(Z122,M76:Y85,13,FALSE)-30)=1,0,VLOOKUP(Z122,M76:Y85,13,FALSE)-30)</f>
        <v>0</v>
      </c>
      <c r="CB122" s="1162">
        <f>IF(1*ISERROR(VLOOKUP(Z122,O76:Y85,11,FALSE)-30)=1,0,VLOOKUP(Z122,O76:Y85,11,FALSE)-30)</f>
        <v>0</v>
      </c>
      <c r="CC122" s="1162">
        <f>IF(1*ISERROR(VLOOKUP(Z122,Q76:Y85,9,FALSE)-30)=1,0,VLOOKUP(Z122,Q76:Y85,9,FALSE)-30)</f>
        <v>10</v>
      </c>
      <c r="CD122" s="1162">
        <f>IF(1*ISERROR(VLOOKUP(Z122,S76:Y85,7,FALSE)-30)=1,0,VLOOKUP(Z122,S76:Y85,7,FALSE)-30)</f>
        <v>9</v>
      </c>
      <c r="CE122" s="1162">
        <f>IF(1*ISERROR(VLOOKUP(Z122,U76:Y85,5,FALSE)-30)=1,0,VLOOKUP(Z122,U76:Y85,5,FALSE)-30)</f>
        <v>0</v>
      </c>
      <c r="CF122" s="1163">
        <f t="shared" si="21"/>
        <v>0</v>
      </c>
      <c r="CG122" s="1162">
        <f t="shared" si="14"/>
        <v>19</v>
      </c>
      <c r="CH122" s="1162">
        <f t="shared" si="15"/>
        <v>10</v>
      </c>
      <c r="CI122" s="1162">
        <f>IF(CH122=35,35,CH122+COUNTIF(CH$98:CH121,CH122)/COUNTIF(CH$98:CH$132,CH122))</f>
        <v>10</v>
      </c>
      <c r="CJ122" s="1162">
        <f t="shared" si="16"/>
        <v>10</v>
      </c>
      <c r="CK122" s="1162" t="s">
        <v>393</v>
      </c>
      <c r="CL122" s="1162">
        <f>IF(1*ISERROR(VLOOKUP(Z122,C86:Y95,23,FALSE)-40)=1,0,VLOOKUP(Z122,C86:Y95,23,FALSE)-40)</f>
        <v>0</v>
      </c>
      <c r="CM122" s="1162">
        <f>IF(1*ISERROR(VLOOKUP(Z122,E86:Y95,21,FALSE)-40)=1,0,VLOOKUP(Z122,E86:Y95,21,FALSE)-40)</f>
        <v>0</v>
      </c>
      <c r="CN122" s="1162">
        <f>IF(1*ISERROR(VLOOKUP(Z122,G86:Y95,19,FALSE)-40)=1,0,VLOOKUP(Z122,G86:Y95,19,FALSE)-40)</f>
        <v>0</v>
      </c>
      <c r="CO122" s="1162">
        <f>IF(1*ISERROR(VLOOKUP(Z122,I86:Y95,17,FALSE)-40)=1,0,VLOOKUP(Z122,I86:Y95,17,FALSE)-40)</f>
        <v>0</v>
      </c>
      <c r="CP122" s="1162">
        <f>IF(1*ISERROR(VLOOKUP(Z122,K86:Y95,15,FALSE)-40)=1,0,VLOOKUP(Z122,K86:Y95,15,FALSE)-40)</f>
        <v>0</v>
      </c>
      <c r="CQ122" s="1162">
        <f>IF(1*ISERROR(VLOOKUP(Z122,M86:Y95,13,FALSE)-40)=1,0,VLOOKUP(Z122,M86:Y95,13,FALSE)-40)</f>
        <v>0</v>
      </c>
      <c r="CR122" s="1162">
        <f>IF(1*ISERROR(VLOOKUP(Z122,O86:Y95,11,FALSE)-40)=1,0,VLOOKUP(Z122,O86:Y95,11,FALSE)-40)</f>
        <v>0</v>
      </c>
      <c r="CS122" s="1162">
        <f>IF(1*ISERROR(VLOOKUP(Z122,Q86:Y95,9,FALSE)-40)=1,0,VLOOKUP(Z122,Q86:Y95,9,FALSE)-40)</f>
        <v>0</v>
      </c>
      <c r="CT122" s="1162">
        <f>IF(1*ISERROR(VLOOKUP(Z122,S86:Y95,7,FALSE)-40)=1,0,VLOOKUP(Z122,S86:Y95,7,FALSE)-40)</f>
        <v>0</v>
      </c>
      <c r="CU122" s="1162">
        <f>IF(1*ISERROR(VLOOKUP(Z122,U86:Y95,5,FALSE)-40)=1,0,VLOOKUP(Z122,U86:Y95,5,FALSE)-40)</f>
        <v>0</v>
      </c>
      <c r="CV122" s="1162">
        <v>0</v>
      </c>
      <c r="CW122" s="1162">
        <f t="shared" si="17"/>
        <v>0</v>
      </c>
      <c r="CX122" s="1162">
        <f>IF(CW122=0,35,_xlfn.RANK.EQ(CW122,CW98:CW132))</f>
        <v>35</v>
      </c>
      <c r="CY122" s="1162">
        <f>IF(CX122=35,35,CX122+COUNTIF(CX$98:CX121,CX122)/COUNTIF(CX$98:CX$132,CX122))</f>
        <v>35</v>
      </c>
      <c r="CZ122" s="1162">
        <f t="shared" si="18"/>
        <v>13</v>
      </c>
      <c r="DA122" s="1162" t="s">
        <v>393</v>
      </c>
      <c r="DB122" s="834"/>
      <c r="DC122" s="834"/>
      <c r="DD122" s="839"/>
      <c r="DE122" s="1098"/>
      <c r="DF122" s="1098"/>
      <c r="DG122" s="1098"/>
      <c r="DH122" s="1098"/>
      <c r="DI122" s="1098"/>
      <c r="DJ122" s="1098"/>
      <c r="DK122" s="1098"/>
      <c r="DL122" s="1098"/>
      <c r="DM122" s="1098"/>
      <c r="DN122" s="1098"/>
      <c r="DO122" s="1098"/>
    </row>
    <row r="123" spans="25:119" s="1086" customFormat="1">
      <c r="Y123" s="1113">
        <f t="shared" si="23"/>
        <v>26</v>
      </c>
      <c r="Z123" s="1162" t="s">
        <v>397</v>
      </c>
      <c r="AA123" s="1162">
        <f>IF(1*ISERROR(VLOOKUP(Z123,C46:Y55,23,FALSE))=1,0,VLOOKUP(Z123,C46:Y55,23,FALSE))</f>
        <v>0</v>
      </c>
      <c r="AB123" s="1162">
        <f>IF(1*ISERROR(VLOOKUP(Z123,E46:Y55,21,FALSE))=1,0,VLOOKUP(Z123,E46:Y55,21,FALSE))</f>
        <v>0</v>
      </c>
      <c r="AC123" s="1162">
        <f>IF(1*ISERROR(VLOOKUP(Z123,G46:Y55,19,FALSE))=1,0,VLOOKUP(Z123,G46:Y55,19,FALSE))</f>
        <v>0</v>
      </c>
      <c r="AD123" s="1162">
        <f>IF(1*ISERROR(VLOOKUP(Z123,I46:Y55,17,FALSE))=1,0,VLOOKUP(Z123,I46:Y55,17,FALSE))</f>
        <v>0</v>
      </c>
      <c r="AE123" s="1162">
        <f>IF(1*ISERROR(VLOOKUP(Z123,K46:Y55,15,FALSE))=1,0,VLOOKUP(Z123,K46:Y55,15,FALSE))</f>
        <v>0</v>
      </c>
      <c r="AF123" s="1162">
        <f>IF(1*ISERROR(VLOOKUP(Z123,M46:Y55,13,FALSE))=1,0,VLOOKUP(Z123,M46:Y55,13,FALSE))</f>
        <v>0</v>
      </c>
      <c r="AG123" s="1162">
        <f>IF(1*ISERROR(VLOOKUP(Z123,O46:Y55,11,FALSE))=1,0,VLOOKUP(Z123,O46:Y55,11,FALSE))</f>
        <v>0</v>
      </c>
      <c r="AH123" s="1162">
        <f>IF(1*ISERROR(VLOOKUP(Z123,Q46:Y55,9,FALSE))=1,0,VLOOKUP(Z123,Q46:Y55,9,FALSE))</f>
        <v>0</v>
      </c>
      <c r="AI123" s="1162">
        <f>IF(1*ISERROR(VLOOKUP(Z123,S46:Y55,7,FALSE))=1,0,VLOOKUP(Z123,S46:Y55,7,FALSE))</f>
        <v>0</v>
      </c>
      <c r="AJ123" s="1162">
        <f>IF(1*ISERROR(VLOOKUP(Z123,U46:Y55,5,FALSE))=1,0,VLOOKUP(Z123,U46:Y55,5,FALSE))</f>
        <v>0</v>
      </c>
      <c r="AK123" s="1162">
        <f t="shared" si="22"/>
        <v>0</v>
      </c>
      <c r="AL123" s="1162">
        <f t="shared" si="8"/>
        <v>0</v>
      </c>
      <c r="AM123" s="1162">
        <f>IF(AL123=0,35,_xlfn.RANK.EQ(AL123,AL98:AL132))</f>
        <v>35</v>
      </c>
      <c r="AN123" s="1162">
        <f>IF(AM123=35,35,AM123+COUNTIF(AM$98:AM122,AM123)/COUNTIF(AM$98:AM$132,AM123))</f>
        <v>35</v>
      </c>
      <c r="AO123" s="1162">
        <f t="shared" si="9"/>
        <v>13</v>
      </c>
      <c r="AP123" s="1162" t="s">
        <v>397</v>
      </c>
      <c r="AQ123" s="1162">
        <f>IF(1*ISERROR(VLOOKUP(Z123,C56:Y65,23,FALSE)-10)=1,0,VLOOKUP(Z123,C56:Y65,23,FALSE)-10)</f>
        <v>0</v>
      </c>
      <c r="AR123" s="1162">
        <f>IF(1*ISERROR(VLOOKUP(Z123,E56:Y65,21,FALSE)-10)=1,0,VLOOKUP(Z123,E56:Y65,21,FALSE)-10)</f>
        <v>0</v>
      </c>
      <c r="AS123" s="1162">
        <f>IF(1*ISERROR(VLOOKUP(Z123,G56:Y65,19,FALSE)-10)=1,0,VLOOKUP(Z123,G56:Y65,19,FALSE)-10)</f>
        <v>0</v>
      </c>
      <c r="AT123" s="1162">
        <f>IF(1*ISERROR(VLOOKUP(Z123,I56:Y65,17,FALSE)-10)=1,0,VLOOKUP(Z123,I56:Y65,17,FALSE)-10)</f>
        <v>0</v>
      </c>
      <c r="AU123" s="1162">
        <f>IF(1*ISERROR(VLOOKUP(Z123,K56:Y65,15,FALSE)-10)=1,0,VLOOKUP(Z123,K56:Y65,15,FALSE)-10)</f>
        <v>0</v>
      </c>
      <c r="AV123" s="1162">
        <f>IF(1*ISERROR(VLOOKUP(Z123,M56:Y65,13,FALSE)-10)=1,0,VLOOKUP(Z123,M56:Y65,13,FALSE)-10)</f>
        <v>0</v>
      </c>
      <c r="AW123" s="1162">
        <f>IF(1*ISERROR(VLOOKUP(Z123,O56:Y65,11,FALSE)-10)=1,0,VLOOKUP(Z123,O56:Y65,11,FALSE)-10)</f>
        <v>0</v>
      </c>
      <c r="AX123" s="1162">
        <f>IF(1*ISERROR(VLOOKUP(Z123,Q56:Y65,9,FALSE)-10)=1,0,VLOOKUP(Z123,Q56:Y65,9,FALSE)-10)</f>
        <v>0</v>
      </c>
      <c r="AY123" s="1162">
        <f>IF(1*ISERROR(VLOOKUP(Z123,S56:Y65,7,FALSE)-10)=1,0,VLOOKUP(Z123,S56:Y65,7,FALSE)-10)</f>
        <v>0</v>
      </c>
      <c r="AZ123" s="1163">
        <f>IF(1*ISERROR(VLOOKUP(Z123,U56:Y65,5,FALSE)-10)=1,0,VLOOKUP(Z123,U56:Y65,5,FALSE)-10)</f>
        <v>0</v>
      </c>
      <c r="BA123" s="1162">
        <f t="shared" si="10"/>
        <v>0</v>
      </c>
      <c r="BB123" s="1162">
        <f>IF(BA123=0,35,_xlfn.RANK.EQ(BA123,BA98:BA132))</f>
        <v>35</v>
      </c>
      <c r="BC123" s="1162">
        <f>IF(BB123=35,35,BB123+COUNTIF(BB$98:BB122,BB123)/COUNTIF(BB$98:BB$132,BB123))</f>
        <v>35</v>
      </c>
      <c r="BD123" s="1162">
        <f t="shared" si="11"/>
        <v>13</v>
      </c>
      <c r="BE123" s="1162" t="s">
        <v>397</v>
      </c>
      <c r="BF123" s="1162">
        <f>IF(1*ISERROR(VLOOKUP(Z123,C66:Y75,23,FALSE)-20)=1,0,VLOOKUP(Z123,C66:Y75,23,FALSE)-20)</f>
        <v>0</v>
      </c>
      <c r="BG123" s="1162">
        <f>IF(1*ISERROR(VLOOKUP(Z123,E66:Y75,21,FALSE)-20)=1,0,VLOOKUP(Z123,E66:Y75,21,FALSE)-20)</f>
        <v>0</v>
      </c>
      <c r="BH123" s="1162">
        <f>IF(1*ISERROR(VLOOKUP(Z123,G66:Y75,19,FALSE)-20)=1,0,VLOOKUP(Z123,G66:Y75,19,FALSE)-20)</f>
        <v>0</v>
      </c>
      <c r="BI123" s="1162">
        <f>IF(1*ISERROR(VLOOKUP(Z123,I66:Y75,17,FALSE)-20)=1,0,VLOOKUP(Z123,I66:Y75,17,FALSE)-20)</f>
        <v>0</v>
      </c>
      <c r="BJ123" s="1162">
        <f>IF(1*ISERROR(VLOOKUP(Z123,K66:Y75,15,FALSE)-20)=1,0,VLOOKUP(Z123,K66:Y75,15,FALSE)-20)</f>
        <v>0</v>
      </c>
      <c r="BK123" s="1162">
        <f>IF(1*ISERROR(VLOOKUP(Z123,M66:Y75,13,FALSE)-20)=1,0,VLOOKUP(Z123,M66:Y75,13,FALSE)-20)</f>
        <v>0</v>
      </c>
      <c r="BL123" s="1162">
        <f>IF(1*ISERROR(VLOOKUP(Z123,O66:Y75,11,FALSE)-20)=1,0,VLOOKUP(Z123,O66:Y75,11,FALSE)-20)</f>
        <v>0</v>
      </c>
      <c r="BM123" s="1162">
        <f>IF(1*ISERROR(VLOOKUP(Z123,Q66:Y75,9,FALSE)-20)=1,0,VLOOKUP(Z123,Q66:Y75,9,FALSE)-20)</f>
        <v>0</v>
      </c>
      <c r="BN123" s="1162">
        <f>IF(1*ISERROR(VLOOKUP(Z123,S66:Y75,7,FALSE)-20)=1,0,VLOOKUP(Z123,S66:Y75,7,FALSE)-20)</f>
        <v>0</v>
      </c>
      <c r="BO123" s="1162">
        <f>IF(1*ISERROR(VLOOKUP(Z123,U66:Y75,5,FALSE)-20)=1,0,VLOOKUP(Z123,U66:Y75,5,FALSE)-20)</f>
        <v>0</v>
      </c>
      <c r="BP123" s="1162">
        <f t="shared" si="20"/>
        <v>0</v>
      </c>
      <c r="BQ123" s="1162">
        <f t="shared" si="12"/>
        <v>0</v>
      </c>
      <c r="BR123" s="1162">
        <f>IF(BQ123=0,35,_xlfn.RANK.EQ(BQ123,BQ98:BQ132))</f>
        <v>35</v>
      </c>
      <c r="BS123" s="1162">
        <f>IF(BR123=35,35,BR123+COUNTIF(BR$98:BR122,BR123)/COUNTIF(BR$98:BR$132,BR123))</f>
        <v>35</v>
      </c>
      <c r="BT123" s="1162">
        <f t="shared" si="13"/>
        <v>13</v>
      </c>
      <c r="BU123" s="1162" t="s">
        <v>397</v>
      </c>
      <c r="BV123" s="1162">
        <f>IF(1*ISERROR(VLOOKUP(Z123,C76:Y85,23,FALSE)-30)=1,0,VLOOKUP(Z123,C76:Y85,23,FALSE)-30)</f>
        <v>5</v>
      </c>
      <c r="BW123" s="1162">
        <f>IF(1*ISERROR(VLOOKUP(Z123,E76:Y85,21,FALSE)-30)=1,0,VLOOKUP(Z123,E76:Y85,21,FALSE)-30)</f>
        <v>5</v>
      </c>
      <c r="BX123" s="1162">
        <f>IF(1*ISERROR(VLOOKUP(Z123,G76:Y85,19,FALSE)-30)=1,0,VLOOKUP(Z123,G76:Y85,19,FALSE)-30)</f>
        <v>7</v>
      </c>
      <c r="BY123" s="1162">
        <f>IF(1*ISERROR(VLOOKUP(Z123,I76:Y85,17,FALSE)-30)=1,0,VLOOKUP(Z123,I76:Y85,17,FALSE)-30)</f>
        <v>6</v>
      </c>
      <c r="BZ123" s="1162">
        <f>IF(1*ISERROR(VLOOKUP(Z123,K76:Y85,15,FALSE)-30)=1,0,VLOOKUP(Z123,K76:Y85,15,FALSE)-30)</f>
        <v>4</v>
      </c>
      <c r="CA123" s="1162">
        <f>IF(1*ISERROR(VLOOKUP(Z123,M76:Y85,13,FALSE)-30)=1,0,VLOOKUP(Z123,M76:Y85,13,FALSE)-30)</f>
        <v>6</v>
      </c>
      <c r="CB123" s="1162">
        <f>IF(1*ISERROR(VLOOKUP(Z123,O76:Y85,11,FALSE)-30)=1,0,VLOOKUP(Z123,O76:Y85,11,FALSE)-30)</f>
        <v>6</v>
      </c>
      <c r="CC123" s="1162">
        <f>IF(1*ISERROR(VLOOKUP(Z123,Q76:Y85,9,FALSE)-30)=1,0,VLOOKUP(Z123,Q76:Y85,9,FALSE)-30)</f>
        <v>5</v>
      </c>
      <c r="CD123" s="1162">
        <f>IF(1*ISERROR(VLOOKUP(Z123,S76:Y85,7,FALSE)-30)=1,0,VLOOKUP(Z123,S76:Y85,7,FALSE)-30)</f>
        <v>5</v>
      </c>
      <c r="CE123" s="1162">
        <f>IF(1*ISERROR(VLOOKUP(Z123,U76:Y85,5,FALSE)-30)=1,0,VLOOKUP(Z123,U76:Y85,5,FALSE)-30)</f>
        <v>0</v>
      </c>
      <c r="CF123" s="1163">
        <v>5</v>
      </c>
      <c r="CG123" s="1162">
        <f t="shared" si="14"/>
        <v>49</v>
      </c>
      <c r="CH123" s="1162">
        <f t="shared" si="15"/>
        <v>4</v>
      </c>
      <c r="CI123" s="1162">
        <f>IF(CH123=35,35,CH123+COUNTIF(CH$98:CH122,CH123)/COUNTIF(CH$98:CH$132,CH123))</f>
        <v>4</v>
      </c>
      <c r="CJ123" s="1162">
        <f t="shared" si="16"/>
        <v>4</v>
      </c>
      <c r="CK123" s="1162" t="s">
        <v>397</v>
      </c>
      <c r="CL123" s="1162">
        <f>IF(1*ISERROR(VLOOKUP(Z123,C86:Y95,23,FALSE)-40)=1,0,VLOOKUP(Z123,C86:Y95,23,FALSE)-40)</f>
        <v>0</v>
      </c>
      <c r="CM123" s="1162">
        <f>IF(1*ISERROR(VLOOKUP(Z123,E86:Y95,21,FALSE)-40)=1,0,VLOOKUP(Z123,E86:Y95,21,FALSE)-40)</f>
        <v>0</v>
      </c>
      <c r="CN123" s="1162">
        <f>IF(1*ISERROR(VLOOKUP(Z123,G86:Y95,19,FALSE)-40)=1,0,VLOOKUP(Z123,G86:Y95,19,FALSE)-40)</f>
        <v>0</v>
      </c>
      <c r="CO123" s="1162">
        <f>IF(1*ISERROR(VLOOKUP(Z123,I86:Y95,17,FALSE)-40)=1,0,VLOOKUP(Z123,I86:Y95,17,FALSE)-40)</f>
        <v>0</v>
      </c>
      <c r="CP123" s="1162">
        <f>IF(1*ISERROR(VLOOKUP(Z123,K86:Y95,15,FALSE)-40)=1,0,VLOOKUP(Z123,K86:Y95,15,FALSE)-40)</f>
        <v>0</v>
      </c>
      <c r="CQ123" s="1162">
        <f>IF(1*ISERROR(VLOOKUP(Z123,M86:Y95,13,FALSE)-40)=1,0,VLOOKUP(Z123,M86:Y95,13,FALSE)-40)</f>
        <v>0</v>
      </c>
      <c r="CR123" s="1162">
        <f>IF(1*ISERROR(VLOOKUP(Z123,O86:Y95,11,FALSE)-40)=1,0,VLOOKUP(Z123,O86:Y95,11,FALSE)-40)</f>
        <v>0</v>
      </c>
      <c r="CS123" s="1162">
        <f>IF(1*ISERROR(VLOOKUP(Z123,Q86:Y95,9,FALSE)-40)=1,0,VLOOKUP(Z123,Q86:Y95,9,FALSE)-40)</f>
        <v>0</v>
      </c>
      <c r="CT123" s="1162">
        <f>IF(1*ISERROR(VLOOKUP(Z123,S86:Y95,7,FALSE)-40)=1,0,VLOOKUP(Z123,S86:Y95,7,FALSE)-40)</f>
        <v>0</v>
      </c>
      <c r="CU123" s="1162">
        <f>IF(1*ISERROR(VLOOKUP(Z123,U86:Y95,5,FALSE)-40)=1,0,VLOOKUP(Z123,U86:Y95,5,FALSE)-40)</f>
        <v>0</v>
      </c>
      <c r="CV123" s="1162">
        <v>0</v>
      </c>
      <c r="CW123" s="1162">
        <f t="shared" si="17"/>
        <v>0</v>
      </c>
      <c r="CX123" s="1162">
        <f>IF(CW123=0,35,_xlfn.RANK.EQ(CW123,CW98:CW132))</f>
        <v>35</v>
      </c>
      <c r="CY123" s="1162">
        <f>IF(CX123=35,35,CX123+COUNTIF(CX$98:CX122,CX123)/COUNTIF(CX$98:CX$132,CX123))</f>
        <v>35</v>
      </c>
      <c r="CZ123" s="1162">
        <f t="shared" si="18"/>
        <v>13</v>
      </c>
      <c r="DA123" s="1162" t="s">
        <v>397</v>
      </c>
      <c r="DB123" s="834"/>
      <c r="DC123" s="834"/>
      <c r="DD123" s="839"/>
      <c r="DE123" s="1098"/>
      <c r="DF123" s="1098"/>
      <c r="DG123" s="1098"/>
      <c r="DH123" s="1098"/>
      <c r="DI123" s="1098"/>
      <c r="DJ123" s="1098"/>
      <c r="DK123" s="1098"/>
      <c r="DL123" s="1098"/>
      <c r="DM123" s="1098"/>
      <c r="DN123" s="1098"/>
      <c r="DO123" s="1098"/>
    </row>
    <row r="124" spans="25:119" s="1086" customFormat="1">
      <c r="Y124" s="1113">
        <f t="shared" si="23"/>
        <v>27</v>
      </c>
      <c r="Z124" s="1162" t="s">
        <v>384</v>
      </c>
      <c r="AA124" s="1162">
        <f>IF(1*ISERROR(VLOOKUP(Z124,C46:Y55,23,FALSE))=1,0,VLOOKUP(Z124,C46:Y55,23,FALSE))</f>
        <v>9</v>
      </c>
      <c r="AB124" s="1162">
        <f>IF(1*ISERROR(VLOOKUP(Z124,E46:Y55,21,FALSE))=1,0,VLOOKUP(Z124,E46:Y55,21,FALSE))</f>
        <v>8</v>
      </c>
      <c r="AC124" s="1162">
        <f>IF(1*ISERROR(VLOOKUP(Z124,G46:Y55,19,FALSE))=1,0,VLOOKUP(Z124,G46:Y55,19,FALSE))</f>
        <v>9</v>
      </c>
      <c r="AD124" s="1162">
        <f>IF(1*ISERROR(VLOOKUP(Z124,I46:Y55,17,FALSE))=1,0,VLOOKUP(Z124,I46:Y55,17,FALSE))</f>
        <v>8</v>
      </c>
      <c r="AE124" s="1162">
        <f>IF(1*ISERROR(VLOOKUP(Z124,K46:Y55,15,FALSE))=1,0,VLOOKUP(Z124,K46:Y55,15,FALSE))</f>
        <v>7</v>
      </c>
      <c r="AF124" s="1162">
        <f>IF(1*ISERROR(VLOOKUP(Z124,M46:Y55,13,FALSE))=1,0,VLOOKUP(Z124,M46:Y55,13,FALSE))</f>
        <v>0</v>
      </c>
      <c r="AG124" s="1162">
        <f>IF(1*ISERROR(VLOOKUP(Z124,O46:Y55,11,FALSE))=1,0,VLOOKUP(Z124,O46:Y55,11,FALSE))</f>
        <v>0</v>
      </c>
      <c r="AH124" s="1162">
        <f>IF(1*ISERROR(VLOOKUP(Z124,Q46:Y55,9,FALSE))=1,0,VLOOKUP(Z124,Q46:Y55,9,FALSE))</f>
        <v>0</v>
      </c>
      <c r="AI124" s="1162">
        <f>IF(1*ISERROR(VLOOKUP(Z124,S46:Y55,7,FALSE))=1,0,VLOOKUP(Z124,S46:Y55,7,FALSE))</f>
        <v>0</v>
      </c>
      <c r="AJ124" s="1162">
        <f>IF(1*ISERROR(VLOOKUP(Z124,U46:Y55,5,FALSE))=1,0,VLOOKUP(Z124,U46:Y55,5,FALSE))</f>
        <v>0</v>
      </c>
      <c r="AK124" s="1162">
        <f t="shared" si="22"/>
        <v>0</v>
      </c>
      <c r="AL124" s="1162">
        <f t="shared" si="8"/>
        <v>41</v>
      </c>
      <c r="AM124" s="1162">
        <f>IF(AL124=0,35,_xlfn.RANK.EQ(AL124,AL98:AL132))</f>
        <v>7</v>
      </c>
      <c r="AN124" s="1162">
        <f>IF(AM124=35,35,AM124+COUNTIF(AM$98:AM123,AM124)/COUNTIF(AM$98:AM$132,AM124))</f>
        <v>7</v>
      </c>
      <c r="AO124" s="1162">
        <f t="shared" si="9"/>
        <v>7</v>
      </c>
      <c r="AP124" s="1162" t="s">
        <v>384</v>
      </c>
      <c r="AQ124" s="1162">
        <f>IF(1*ISERROR(VLOOKUP(Z124,C56:Y65,23,FALSE)-10)=1,0,VLOOKUP(Z124,C56:Y65,23,FALSE)-10)</f>
        <v>10</v>
      </c>
      <c r="AR124" s="1162">
        <f>IF(1*ISERROR(VLOOKUP(Z124,E56:Y65,21,FALSE)-10)=1,0,VLOOKUP(Z124,E56:Y65,21,FALSE)-10)</f>
        <v>10</v>
      </c>
      <c r="AS124" s="1162">
        <f>IF(1*ISERROR(VLOOKUP(Z124,G56:Y65,19,FALSE)-10)=1,0,VLOOKUP(Z124,G56:Y65,19,FALSE)-10)</f>
        <v>10</v>
      </c>
      <c r="AT124" s="1162">
        <f>IF(1*ISERROR(VLOOKUP(Z124,I56:Y65,17,FALSE)-10)=1,0,VLOOKUP(Z124,I56:Y65,17,FALSE)-10)</f>
        <v>0</v>
      </c>
      <c r="AU124" s="1162">
        <f>IF(1*ISERROR(VLOOKUP(Z124,K56:Y65,15,FALSE)-10)=1,0,VLOOKUP(Z124,K56:Y65,15,FALSE)-10)</f>
        <v>0</v>
      </c>
      <c r="AV124" s="1162">
        <f>IF(1*ISERROR(VLOOKUP(Z124,M56:Y65,13,FALSE)-10)=1,0,VLOOKUP(Z124,M56:Y65,13,FALSE)-10)</f>
        <v>0</v>
      </c>
      <c r="AW124" s="1162">
        <f>IF(1*ISERROR(VLOOKUP(Z124,O56:Y65,11,FALSE)-10)=1,0,VLOOKUP(Z124,O56:Y65,11,FALSE)-10)</f>
        <v>0</v>
      </c>
      <c r="AX124" s="1162">
        <f>IF(1*ISERROR(VLOOKUP(Z124,Q56:Y65,9,FALSE)-10)=1,0,VLOOKUP(Z124,Q56:Y65,9,FALSE)-10)</f>
        <v>0</v>
      </c>
      <c r="AY124" s="1162">
        <f>IF(1*ISERROR(VLOOKUP(Z124,S56:Y65,7,FALSE)-10)=1,0,VLOOKUP(Z124,S56:Y65,7,FALSE)-10)</f>
        <v>0</v>
      </c>
      <c r="AZ124" s="1163">
        <f>IF(1*ISERROR(VLOOKUP(Z124,U56:Y65,5,FALSE)-10)=1,0,VLOOKUP(Z124,U56:Y65,5,FALSE)-10)</f>
        <v>0</v>
      </c>
      <c r="BA124" s="1162">
        <f t="shared" si="10"/>
        <v>30</v>
      </c>
      <c r="BB124" s="1162">
        <f>IF(BA124=0,35,_xlfn.RANK.EQ(BA124,BA98:BA132))</f>
        <v>9</v>
      </c>
      <c r="BC124" s="1162">
        <f>IF(BB124=35,35,BB124+COUNTIF(BB$98:BB123,BB124)/COUNTIF(BB$98:BB$132,BB124))</f>
        <v>9</v>
      </c>
      <c r="BD124" s="1162">
        <f t="shared" si="11"/>
        <v>9</v>
      </c>
      <c r="BE124" s="1162" t="s">
        <v>384</v>
      </c>
      <c r="BF124" s="1162">
        <f>IF(1*ISERROR(VLOOKUP(Z124,C66:Y75,23,FALSE)-20)=1,0,VLOOKUP(Z124,C66:Y75,23,FALSE)-20)</f>
        <v>0</v>
      </c>
      <c r="BG124" s="1162">
        <f>IF(1*ISERROR(VLOOKUP(Z124,E66:Y75,21,FALSE)-20)=1,0,VLOOKUP(Z124,E66:Y75,21,FALSE)-20)</f>
        <v>0</v>
      </c>
      <c r="BH124" s="1162">
        <f>IF(1*ISERROR(VLOOKUP(Z124,G66:Y75,19,FALSE)-20)=1,0,VLOOKUP(Z124,G66:Y75,19,FALSE)-20)</f>
        <v>0</v>
      </c>
      <c r="BI124" s="1162">
        <f>IF(1*ISERROR(VLOOKUP(Z124,I66:Y75,17,FALSE)-20)=1,0,VLOOKUP(Z124,I66:Y75,17,FALSE)-20)</f>
        <v>0</v>
      </c>
      <c r="BJ124" s="1162">
        <f>IF(1*ISERROR(VLOOKUP(Z124,K66:Y75,15,FALSE)-20)=1,0,VLOOKUP(Z124,K66:Y75,15,FALSE)-20)</f>
        <v>0</v>
      </c>
      <c r="BK124" s="1162">
        <f>IF(1*ISERROR(VLOOKUP(Z124,M66:Y75,13,FALSE)-20)=1,0,VLOOKUP(Z124,M66:Y75,13,FALSE)-20)</f>
        <v>0</v>
      </c>
      <c r="BL124" s="1162">
        <f>IF(1*ISERROR(VLOOKUP(Z124,O66:Y75,11,FALSE)-20)=1,0,VLOOKUP(Z124,O66:Y75,11,FALSE)-20)</f>
        <v>0</v>
      </c>
      <c r="BM124" s="1162">
        <f>IF(1*ISERROR(VLOOKUP(Z124,Q66:Y75,9,FALSE)-20)=1,0,VLOOKUP(Z124,Q66:Y75,9,FALSE)-20)</f>
        <v>0</v>
      </c>
      <c r="BN124" s="1162">
        <f>IF(1*ISERROR(VLOOKUP(Z124,S66:Y75,7,FALSE)-20)=1,0,VLOOKUP(Z124,S66:Y75,7,FALSE)-20)</f>
        <v>0</v>
      </c>
      <c r="BO124" s="1162">
        <f>IF(1*ISERROR(VLOOKUP(Z124,U66:Y75,5,FALSE)-20)=1,0,VLOOKUP(Z124,U66:Y75,5,FALSE)-20)</f>
        <v>0</v>
      </c>
      <c r="BP124" s="1162">
        <f t="shared" si="20"/>
        <v>0</v>
      </c>
      <c r="BQ124" s="1162">
        <f t="shared" si="12"/>
        <v>0</v>
      </c>
      <c r="BR124" s="1162">
        <f>IF(BQ124=0,35,_xlfn.RANK.EQ(BQ124,BQ98:BQ132))</f>
        <v>35</v>
      </c>
      <c r="BS124" s="1162">
        <f>IF(BR124=35,35,BR124+COUNTIF(BR$98:BR123,BR124)/COUNTIF(BR$98:BR$132,BR124))</f>
        <v>35</v>
      </c>
      <c r="BT124" s="1162">
        <f t="shared" si="13"/>
        <v>13</v>
      </c>
      <c r="BU124" s="1162" t="s">
        <v>384</v>
      </c>
      <c r="BV124" s="1162">
        <f>IF(1*ISERROR(VLOOKUP(Z124,C76:Y85,23,FALSE)-30)=1,0,VLOOKUP(Z124,C76:Y85,23,FALSE)-30)</f>
        <v>0</v>
      </c>
      <c r="BW124" s="1162">
        <f>IF(1*ISERROR(VLOOKUP(Z124,E76:Y85,21,FALSE)-30)=1,0,VLOOKUP(Z124,E76:Y85,21,FALSE)-30)</f>
        <v>0</v>
      </c>
      <c r="BX124" s="1162">
        <f>IF(1*ISERROR(VLOOKUP(Z124,G76:Y85,19,FALSE)-30)=1,0,VLOOKUP(Z124,G76:Y85,19,FALSE)-30)</f>
        <v>0</v>
      </c>
      <c r="BY124" s="1162">
        <f>IF(1*ISERROR(VLOOKUP(Z124,I76:Y85,17,FALSE)-30)=1,0,VLOOKUP(Z124,I76:Y85,17,FALSE)-30)</f>
        <v>0</v>
      </c>
      <c r="BZ124" s="1162">
        <f>IF(1*ISERROR(VLOOKUP(Z124,K76:Y85,15,FALSE)-30)=1,0,VLOOKUP(Z124,K76:Y85,15,FALSE)-30)</f>
        <v>0</v>
      </c>
      <c r="CA124" s="1162">
        <f>IF(1*ISERROR(VLOOKUP(Z124,M76:Y85,13,FALSE)-30)=1,0,VLOOKUP(Z124,M76:Y85,13,FALSE)-30)</f>
        <v>0</v>
      </c>
      <c r="CB124" s="1162">
        <f>IF(1*ISERROR(VLOOKUP(Z124,O76:Y85,11,FALSE)-30)=1,0,VLOOKUP(Z124,O76:Y85,11,FALSE)-30)</f>
        <v>0</v>
      </c>
      <c r="CC124" s="1162">
        <f>IF(1*ISERROR(VLOOKUP(Z124,Q76:Y85,9,FALSE)-30)=1,0,VLOOKUP(Z124,Q76:Y85,9,FALSE)-30)</f>
        <v>0</v>
      </c>
      <c r="CD124" s="1162">
        <f>IF(1*ISERROR(VLOOKUP(Z124,S76:Y85,7,FALSE)-30)=1,0,VLOOKUP(Z124,S76:Y85,7,FALSE)-30)</f>
        <v>0</v>
      </c>
      <c r="CE124" s="1162">
        <f>IF(1*ISERROR(VLOOKUP(Z124,U76:Y85,5,FALSE)-30)=1,0,VLOOKUP(Z124,U76:Y85,5,FALSE)-30)</f>
        <v>0</v>
      </c>
      <c r="CF124" s="1163">
        <f t="shared" si="21"/>
        <v>0</v>
      </c>
      <c r="CG124" s="1162">
        <f t="shared" si="14"/>
        <v>0</v>
      </c>
      <c r="CH124" s="1162">
        <f t="shared" si="15"/>
        <v>35</v>
      </c>
      <c r="CI124" s="1162">
        <f>IF(CH124=35,35,CH124+COUNTIF(CH$98:CH123,CH124)/COUNTIF(CH$98:CH$132,CH124))</f>
        <v>35</v>
      </c>
      <c r="CJ124" s="1162">
        <f t="shared" si="16"/>
        <v>20</v>
      </c>
      <c r="CK124" s="1162" t="s">
        <v>384</v>
      </c>
      <c r="CL124" s="1162">
        <f>IF(1*ISERROR(VLOOKUP(Z124,C86:Y95,23,FALSE)-40)=1,0,VLOOKUP(Z124,C86:Y95,23,FALSE)-40)</f>
        <v>0</v>
      </c>
      <c r="CM124" s="1162">
        <f>IF(1*ISERROR(VLOOKUP(Z124,E86:Y95,21,FALSE)-40)=1,0,VLOOKUP(Z124,E86:Y95,21,FALSE)-40)</f>
        <v>0</v>
      </c>
      <c r="CN124" s="1162">
        <f>IF(1*ISERROR(VLOOKUP(Z124,G86:Y95,19,FALSE)-40)=1,0,VLOOKUP(Z124,G86:Y95,19,FALSE)-40)</f>
        <v>0</v>
      </c>
      <c r="CO124" s="1162">
        <f>IF(1*ISERROR(VLOOKUP(Z124,I86:Y95,17,FALSE)-40)=1,0,VLOOKUP(Z124,I86:Y95,17,FALSE)-40)</f>
        <v>0</v>
      </c>
      <c r="CP124" s="1162">
        <f>IF(1*ISERROR(VLOOKUP(Z124,K86:Y95,15,FALSE)-40)=1,0,VLOOKUP(Z124,K86:Y95,15,FALSE)-40)</f>
        <v>0</v>
      </c>
      <c r="CQ124" s="1162">
        <f>IF(1*ISERROR(VLOOKUP(Z124,M86:Y95,13,FALSE)-40)=1,0,VLOOKUP(Z124,M86:Y95,13,FALSE)-40)</f>
        <v>0</v>
      </c>
      <c r="CR124" s="1162">
        <f>IF(1*ISERROR(VLOOKUP(Z124,O86:Y95,11,FALSE)-40)=1,0,VLOOKUP(Z124,O86:Y95,11,FALSE)-40)</f>
        <v>0</v>
      </c>
      <c r="CS124" s="1162">
        <f>IF(1*ISERROR(VLOOKUP(Z124,Q86:Y95,9,FALSE)-40)=1,0,VLOOKUP(Z124,Q86:Y95,9,FALSE)-40)</f>
        <v>0</v>
      </c>
      <c r="CT124" s="1162">
        <f>IF(1*ISERROR(VLOOKUP(Z124,S86:Y95,7,FALSE)-40)=1,0,VLOOKUP(Z124,S86:Y95,7,FALSE)-40)</f>
        <v>0</v>
      </c>
      <c r="CU124" s="1162">
        <f>IF(1*ISERROR(VLOOKUP(Z124,U86:Y95,5,FALSE)-40)=1,0,VLOOKUP(Z124,U86:Y95,5,FALSE)-40)</f>
        <v>0</v>
      </c>
      <c r="CV124" s="1162">
        <v>0</v>
      </c>
      <c r="CW124" s="1162">
        <f t="shared" si="17"/>
        <v>0</v>
      </c>
      <c r="CX124" s="1162">
        <f>IF(CW124=0,35,_xlfn.RANK.EQ(CW124,CW98:CW132))</f>
        <v>35</v>
      </c>
      <c r="CY124" s="1162">
        <f>IF(CX124=35,35,CX124+COUNTIF(CX$98:CX123,CX124)/COUNTIF(CX$98:CX$132,CX124))</f>
        <v>35</v>
      </c>
      <c r="CZ124" s="1162">
        <f t="shared" si="18"/>
        <v>13</v>
      </c>
      <c r="DA124" s="1162" t="s">
        <v>384</v>
      </c>
      <c r="DB124" s="834"/>
      <c r="DC124" s="834"/>
      <c r="DD124" s="839"/>
      <c r="DE124" s="1098"/>
      <c r="DF124" s="1098"/>
      <c r="DG124" s="1098"/>
      <c r="DH124" s="1098"/>
      <c r="DI124" s="1098"/>
      <c r="DJ124" s="1098"/>
      <c r="DK124" s="1098"/>
      <c r="DL124" s="1098"/>
      <c r="DM124" s="1098"/>
      <c r="DN124" s="1098"/>
      <c r="DO124" s="1098"/>
    </row>
    <row r="125" spans="25:119" s="1086" customFormat="1">
      <c r="Y125" s="1113">
        <f t="shared" si="23"/>
        <v>28</v>
      </c>
      <c r="Z125" s="1162" t="s">
        <v>414</v>
      </c>
      <c r="AA125" s="1162">
        <f>IF(1*ISERROR(VLOOKUP(Z125,C46:Y55,23,FALSE))=1,0,VLOOKUP(Z125,C46:Y55,23,FALSE))</f>
        <v>0</v>
      </c>
      <c r="AB125" s="1162">
        <f>IF(1*ISERROR(VLOOKUP(Z125,E46:Y55,21,FALSE))=1,0,VLOOKUP(Z125,E46:Y55,21,FALSE))</f>
        <v>0</v>
      </c>
      <c r="AC125" s="1162">
        <f>IF(1*ISERROR(VLOOKUP(Z125,G46:Y55,19,FALSE))=1,0,VLOOKUP(Z125,G46:Y55,19,FALSE))</f>
        <v>0</v>
      </c>
      <c r="AD125" s="1162">
        <f>IF(1*ISERROR(VLOOKUP(Z125,I46:Y55,17,FALSE))=1,0,VLOOKUP(Z125,I46:Y55,17,FALSE))</f>
        <v>0</v>
      </c>
      <c r="AE125" s="1162">
        <f>IF(1*ISERROR(VLOOKUP(Z125,K46:Y55,15,FALSE))=1,0,VLOOKUP(Z125,K46:Y55,15,FALSE))</f>
        <v>0</v>
      </c>
      <c r="AF125" s="1162">
        <f>IF(1*ISERROR(VLOOKUP(Z125,M46:Y55,13,FALSE))=1,0,VLOOKUP(Z125,M46:Y55,13,FALSE))</f>
        <v>0</v>
      </c>
      <c r="AG125" s="1162">
        <f>IF(1*ISERROR(VLOOKUP(Z125,O46:Y55,11,FALSE))=1,0,VLOOKUP(Z125,O46:Y55,11,FALSE))</f>
        <v>0</v>
      </c>
      <c r="AH125" s="1162">
        <f>IF(1*ISERROR(VLOOKUP(Z125,Q46:Y55,9,FALSE))=1,0,VLOOKUP(Z125,Q46:Y55,9,FALSE))</f>
        <v>0</v>
      </c>
      <c r="AI125" s="1162">
        <f>IF(1*ISERROR(VLOOKUP(Z125,S46:Y55,7,FALSE))=1,0,VLOOKUP(Z125,S46:Y55,7,FALSE))</f>
        <v>0</v>
      </c>
      <c r="AJ125" s="1162">
        <f>IF(1*ISERROR(VLOOKUP(Z125,U46:Y55,5,FALSE))=1,0,VLOOKUP(Z125,U46:Y55,5,FALSE))</f>
        <v>0</v>
      </c>
      <c r="AK125" s="1162">
        <f t="shared" si="22"/>
        <v>0</v>
      </c>
      <c r="AL125" s="1162">
        <f t="shared" si="8"/>
        <v>0</v>
      </c>
      <c r="AM125" s="1162">
        <f>IF(AL125=0,35,_xlfn.RANK.EQ(AL125,AL98:AL132))</f>
        <v>35</v>
      </c>
      <c r="AN125" s="1162">
        <f>IF(AM125=35,35,AM125+COUNTIF(AM$98:AM124,AM125)/COUNTIF(AM$98:AM$132,AM125))</f>
        <v>35</v>
      </c>
      <c r="AO125" s="1162">
        <f t="shared" si="9"/>
        <v>13</v>
      </c>
      <c r="AP125" s="1162" t="s">
        <v>414</v>
      </c>
      <c r="AQ125" s="1162">
        <f>IF(1*ISERROR(VLOOKUP(Z125,C56:Y65,23,FALSE)-10)=1,0,VLOOKUP(Z125,C56:Y65,23,FALSE)-10)</f>
        <v>0</v>
      </c>
      <c r="AR125" s="1162">
        <f>IF(1*ISERROR(VLOOKUP(Z125,E56:Y65,21,FALSE)-10)=1,0,VLOOKUP(Z125,E56:Y65,21,FALSE)-10)</f>
        <v>0</v>
      </c>
      <c r="AS125" s="1162">
        <f>IF(1*ISERROR(VLOOKUP(Z125,G56:Y65,19,FALSE)-10)=1,0,VLOOKUP(Z125,G56:Y65,19,FALSE)-10)</f>
        <v>0</v>
      </c>
      <c r="AT125" s="1162">
        <f>IF(1*ISERROR(VLOOKUP(Z125,I56:Y65,17,FALSE)-10)=1,0,VLOOKUP(Z125,I56:Y65,17,FALSE)-10)</f>
        <v>0</v>
      </c>
      <c r="AU125" s="1162">
        <f>IF(1*ISERROR(VLOOKUP(Z125,K56:Y65,15,FALSE)-10)=1,0,VLOOKUP(Z125,K56:Y65,15,FALSE)-10)</f>
        <v>0</v>
      </c>
      <c r="AV125" s="1162">
        <f>IF(1*ISERROR(VLOOKUP(Z125,M56:Y65,13,FALSE)-10)=1,0,VLOOKUP(Z125,M56:Y65,13,FALSE)-10)</f>
        <v>0</v>
      </c>
      <c r="AW125" s="1162">
        <f>IF(1*ISERROR(VLOOKUP(Z125,O56:Y65,11,FALSE)-10)=1,0,VLOOKUP(Z125,O56:Y65,11,FALSE)-10)</f>
        <v>0</v>
      </c>
      <c r="AX125" s="1162">
        <f>IF(1*ISERROR(VLOOKUP(Z125,Q56:Y65,9,FALSE)-10)=1,0,VLOOKUP(Z125,Q56:Y65,9,FALSE)-10)</f>
        <v>0</v>
      </c>
      <c r="AY125" s="1162">
        <f>IF(1*ISERROR(VLOOKUP(Z125,S56:Y65,7,FALSE)-10)=1,0,VLOOKUP(Z125,S56:Y65,7,FALSE)-10)</f>
        <v>0</v>
      </c>
      <c r="AZ125" s="1163">
        <f>IF(1*ISERROR(VLOOKUP(Z125,U56:Y65,5,FALSE)-10)=1,0,VLOOKUP(Z125,U56:Y65,5,FALSE)-10)</f>
        <v>0</v>
      </c>
      <c r="BA125" s="1162">
        <f t="shared" si="10"/>
        <v>0</v>
      </c>
      <c r="BB125" s="1162">
        <f>IF(BA125=0,35,_xlfn.RANK.EQ(BA125,BA98:BA132))</f>
        <v>35</v>
      </c>
      <c r="BC125" s="1162">
        <f>IF(BB125=35,35,BB125+COUNTIF(BB$98:BB124,BB125)/COUNTIF(BB$98:BB$132,BB125))</f>
        <v>35</v>
      </c>
      <c r="BD125" s="1162">
        <f t="shared" si="11"/>
        <v>13</v>
      </c>
      <c r="BE125" s="1162" t="s">
        <v>414</v>
      </c>
      <c r="BF125" s="1162">
        <f>IF(1*ISERROR(VLOOKUP(Z125,C66:Y75,23,FALSE)-20)=1,0,VLOOKUP(Z125,C66:Y75,23,FALSE)-20)</f>
        <v>0</v>
      </c>
      <c r="BG125" s="1162">
        <f>IF(1*ISERROR(VLOOKUP(Z125,E66:Y75,21,FALSE)-20)=1,0,VLOOKUP(Z125,E66:Y75,21,FALSE)-20)</f>
        <v>0</v>
      </c>
      <c r="BH125" s="1162">
        <f>IF(1*ISERROR(VLOOKUP(Z125,G66:Y75,19,FALSE)-20)=1,0,VLOOKUP(Z125,G66:Y75,19,FALSE)-20)</f>
        <v>0</v>
      </c>
      <c r="BI125" s="1162">
        <f>IF(1*ISERROR(VLOOKUP(Z125,I66:Y75,17,FALSE)-20)=1,0,VLOOKUP(Z125,I66:Y75,17,FALSE)-20)</f>
        <v>0</v>
      </c>
      <c r="BJ125" s="1162">
        <f>IF(1*ISERROR(VLOOKUP(Z125,K66:Y75,15,FALSE)-20)=1,0,VLOOKUP(Z125,K66:Y75,15,FALSE)-20)</f>
        <v>0</v>
      </c>
      <c r="BK125" s="1162">
        <f>IF(1*ISERROR(VLOOKUP(Z125,M66:Y75,13,FALSE)-20)=1,0,VLOOKUP(Z125,M66:Y75,13,FALSE)-20)</f>
        <v>0</v>
      </c>
      <c r="BL125" s="1162">
        <f>IF(1*ISERROR(VLOOKUP(Z125,O66:Y75,11,FALSE)-20)=1,0,VLOOKUP(Z125,O66:Y75,11,FALSE)-20)</f>
        <v>0</v>
      </c>
      <c r="BM125" s="1162">
        <f>IF(1*ISERROR(VLOOKUP(Z125,Q66:Y75,9,FALSE)-20)=1,0,VLOOKUP(Z125,Q66:Y75,9,FALSE)-20)</f>
        <v>0</v>
      </c>
      <c r="BN125" s="1162">
        <f>IF(1*ISERROR(VLOOKUP(Z125,S66:Y75,7,FALSE)-20)=1,0,VLOOKUP(Z125,S66:Y75,7,FALSE)-20)</f>
        <v>0</v>
      </c>
      <c r="BO125" s="1162">
        <f>IF(1*ISERROR(VLOOKUP(Z125,U66:Y75,5,FALSE)-20)=1,0,VLOOKUP(Z125,U66:Y75,5,FALSE)-20)</f>
        <v>0</v>
      </c>
      <c r="BP125" s="1162">
        <f t="shared" si="20"/>
        <v>0</v>
      </c>
      <c r="BQ125" s="1162">
        <f t="shared" si="12"/>
        <v>0</v>
      </c>
      <c r="BR125" s="1162">
        <f>IF(BQ125=0,35,_xlfn.RANK.EQ(BQ125,BQ98:BQ132))</f>
        <v>35</v>
      </c>
      <c r="BS125" s="1162">
        <f>IF(BR125=35,35,BR125+COUNTIF(BR$98:BR124,BR125)/COUNTIF(BR$98:BR$132,BR125))</f>
        <v>35</v>
      </c>
      <c r="BT125" s="1162">
        <f t="shared" si="13"/>
        <v>13</v>
      </c>
      <c r="BU125" s="1162" t="s">
        <v>414</v>
      </c>
      <c r="BV125" s="1162">
        <f>IF(1*ISERROR(VLOOKUP(Z125,C76:Y85,23,FALSE)-30)=1,0,VLOOKUP(Z125,C76:Y85,23,FALSE)-30)</f>
        <v>0</v>
      </c>
      <c r="BW125" s="1162">
        <f>IF(1*ISERROR(VLOOKUP(Z125,E76:Y85,21,FALSE)-30)=1,0,VLOOKUP(Z125,E76:Y85,21,FALSE)-30)</f>
        <v>0</v>
      </c>
      <c r="BX125" s="1162">
        <f>IF(1*ISERROR(VLOOKUP(Z125,G76:Y85,19,FALSE)-30)=1,0,VLOOKUP(Z125,G76:Y85,19,FALSE)-30)</f>
        <v>0</v>
      </c>
      <c r="BY125" s="1162">
        <f>IF(1*ISERROR(VLOOKUP(Z125,I76:Y85,17,FALSE)-30)=1,0,VLOOKUP(Z125,I76:Y85,17,FALSE)-30)</f>
        <v>0</v>
      </c>
      <c r="BZ125" s="1162">
        <f>IF(1*ISERROR(VLOOKUP(Z125,K76:Y85,15,FALSE)-30)=1,0,VLOOKUP(Z125,K76:Y85,15,FALSE)-30)</f>
        <v>0</v>
      </c>
      <c r="CA125" s="1162">
        <f>IF(1*ISERROR(VLOOKUP(Z125,M76:Y85,13,FALSE)-30)=1,0,VLOOKUP(Z125,M76:Y85,13,FALSE)-30)</f>
        <v>0</v>
      </c>
      <c r="CB125" s="1162">
        <f>IF(1*ISERROR(VLOOKUP(Z125,O76:Y85,11,FALSE)-30)=1,0,VLOOKUP(Z125,O76:Y85,11,FALSE)-30)</f>
        <v>0</v>
      </c>
      <c r="CC125" s="1162">
        <f>IF(1*ISERROR(VLOOKUP(Z125,Q76:Y85,9,FALSE)-30)=1,0,VLOOKUP(Z125,Q76:Y85,9,FALSE)-30)</f>
        <v>0</v>
      </c>
      <c r="CD125" s="1162">
        <f>IF(1*ISERROR(VLOOKUP(Z125,S76:Y85,7,FALSE)-30)=1,0,VLOOKUP(Z125,S76:Y85,7,FALSE)-30)</f>
        <v>0</v>
      </c>
      <c r="CE125" s="1162">
        <f>IF(1*ISERROR(VLOOKUP(Z125,U76:Y85,5,FALSE)-30)=1,0,VLOOKUP(Z125,U76:Y85,5,FALSE)-30)</f>
        <v>0</v>
      </c>
      <c r="CF125" s="1163">
        <f t="shared" si="21"/>
        <v>0</v>
      </c>
      <c r="CG125" s="1162">
        <f t="shared" si="14"/>
        <v>0</v>
      </c>
      <c r="CH125" s="1162">
        <f t="shared" si="15"/>
        <v>35</v>
      </c>
      <c r="CI125" s="1162">
        <f>IF(CH125=35,35,CH125+COUNTIF(CH$98:CH124,CH125)/COUNTIF(CH$98:CH$132,CH125))</f>
        <v>35</v>
      </c>
      <c r="CJ125" s="1162">
        <f t="shared" si="16"/>
        <v>20</v>
      </c>
      <c r="CK125" s="1162" t="s">
        <v>414</v>
      </c>
      <c r="CL125" s="1162">
        <f>IF(1*ISERROR(VLOOKUP(Z125,C86:Y95,23,FALSE)-40)=1,0,VLOOKUP(Z125,C86:Y95,23,FALSE)-40)</f>
        <v>0</v>
      </c>
      <c r="CM125" s="1162">
        <f>IF(1*ISERROR(VLOOKUP(Z125,E86:Y95,21,FALSE)-40)=1,0,VLOOKUP(Z125,E86:Y95,21,FALSE)-40)</f>
        <v>0</v>
      </c>
      <c r="CN125" s="1162">
        <f>IF(1*ISERROR(VLOOKUP(Z125,G86:Y95,19,FALSE)-40)=1,0,VLOOKUP(Z125,G86:Y95,19,FALSE)-40)</f>
        <v>0</v>
      </c>
      <c r="CO125" s="1162">
        <f>IF(1*ISERROR(VLOOKUP(Z125,I86:Y95,17,FALSE)-40)=1,0,VLOOKUP(Z125,I86:Y95,17,FALSE)-40)</f>
        <v>0</v>
      </c>
      <c r="CP125" s="1162">
        <f>IF(1*ISERROR(VLOOKUP(Z125,K86:Y95,15,FALSE)-40)=1,0,VLOOKUP(Z125,K86:Y95,15,FALSE)-40)</f>
        <v>0</v>
      </c>
      <c r="CQ125" s="1162">
        <f>IF(1*ISERROR(VLOOKUP(Z125,M86:Y95,13,FALSE)-40)=1,0,VLOOKUP(Z125,M86:Y95,13,FALSE)-40)</f>
        <v>0</v>
      </c>
      <c r="CR125" s="1162">
        <f>IF(1*ISERROR(VLOOKUP(Z125,O86:Y95,11,FALSE)-40)=1,0,VLOOKUP(Z125,O86:Y95,11,FALSE)-40)</f>
        <v>0</v>
      </c>
      <c r="CS125" s="1162">
        <f>IF(1*ISERROR(VLOOKUP(Z125,Q86:Y95,9,FALSE)-40)=1,0,VLOOKUP(Z125,Q86:Y95,9,FALSE)-40)</f>
        <v>0</v>
      </c>
      <c r="CT125" s="1162">
        <f>IF(1*ISERROR(VLOOKUP(Z125,S86:Y95,7,FALSE)-40)=1,0,VLOOKUP(Z125,S86:Y95,7,FALSE)-40)</f>
        <v>0</v>
      </c>
      <c r="CU125" s="1162">
        <f>IF(1*ISERROR(VLOOKUP(Z125,U86:Y95,5,FALSE)-40)=1,0,VLOOKUP(Z125,U86:Y95,5,FALSE)-40)</f>
        <v>0</v>
      </c>
      <c r="CV125" s="1162">
        <v>0</v>
      </c>
      <c r="CW125" s="1162">
        <f t="shared" si="17"/>
        <v>0</v>
      </c>
      <c r="CX125" s="1162">
        <f>IF(CW125=0,35,_xlfn.RANK.EQ(CW125,CW98:CW132))</f>
        <v>35</v>
      </c>
      <c r="CY125" s="1162">
        <f>IF(CX125=35,35,CX125+COUNTIF(CX$98:CX124,CX125)/COUNTIF(CX$98:CX$132,CX125))</f>
        <v>35</v>
      </c>
      <c r="CZ125" s="1162">
        <f t="shared" si="18"/>
        <v>13</v>
      </c>
      <c r="DA125" s="1162" t="s">
        <v>414</v>
      </c>
      <c r="DB125" s="834"/>
      <c r="DC125" s="834"/>
      <c r="DD125" s="839"/>
      <c r="DE125" s="1098"/>
      <c r="DF125" s="1098"/>
      <c r="DG125" s="1098"/>
      <c r="DH125" s="1098"/>
      <c r="DI125" s="1098"/>
      <c r="DJ125" s="1098"/>
      <c r="DK125" s="1098"/>
      <c r="DL125" s="1098"/>
      <c r="DM125" s="1098"/>
      <c r="DN125" s="1098"/>
      <c r="DO125" s="1098"/>
    </row>
    <row r="126" spans="25:119" s="1086" customFormat="1">
      <c r="Y126" s="1113">
        <f t="shared" si="23"/>
        <v>29</v>
      </c>
      <c r="Z126" s="1162" t="s">
        <v>387</v>
      </c>
      <c r="AA126" s="1162">
        <f>IF(1*ISERROR(VLOOKUP(Z126,C46:Y55,23,FALSE))=1,0,VLOOKUP(Z126,C46:Y55,23,FALSE))</f>
        <v>0</v>
      </c>
      <c r="AB126" s="1162">
        <f>IF(1*ISERROR(VLOOKUP(Z126,E46:Y55,21,FALSE))=1,0,VLOOKUP(Z126,E46:Y55,21,FALSE))</f>
        <v>0</v>
      </c>
      <c r="AC126" s="1162">
        <f>IF(1*ISERROR(VLOOKUP(Z126,G46:Y55,19,FALSE))=1,0,VLOOKUP(Z126,G46:Y55,19,FALSE))</f>
        <v>0</v>
      </c>
      <c r="AD126" s="1162">
        <f>IF(1*ISERROR(VLOOKUP(Z126,I46:Y55,17,FALSE))=1,0,VLOOKUP(Z126,I46:Y55,17,FALSE))</f>
        <v>0</v>
      </c>
      <c r="AE126" s="1162">
        <f>IF(1*ISERROR(VLOOKUP(Z126,K46:Y55,15,FALSE))=1,0,VLOOKUP(Z126,K46:Y55,15,FALSE))</f>
        <v>0</v>
      </c>
      <c r="AF126" s="1162">
        <f>IF(1*ISERROR(VLOOKUP(Z126,M46:Y55,13,FALSE))=1,0,VLOOKUP(Z126,M46:Y55,13,FALSE))</f>
        <v>10</v>
      </c>
      <c r="AG126" s="1162">
        <f>IF(1*ISERROR(VLOOKUP(Z126,O46:Y55,11,FALSE))=1,0,VLOOKUP(Z126,O46:Y55,11,FALSE))</f>
        <v>9</v>
      </c>
      <c r="AH126" s="1162">
        <f>IF(1*ISERROR(VLOOKUP(Z126,Q46:Y55,9,FALSE))=1,0,VLOOKUP(Z126,Q46:Y55,9,FALSE))</f>
        <v>9</v>
      </c>
      <c r="AI126" s="1162">
        <f>IF(1*ISERROR(VLOOKUP(Z126,S46:Y55,7,FALSE))=1,0,VLOOKUP(Z126,S46:Y55,7,FALSE))</f>
        <v>9</v>
      </c>
      <c r="AJ126" s="1162">
        <f>IF(1*ISERROR(VLOOKUP(Z126,U46:Y55,5,FALSE))=1,0,VLOOKUP(Z126,U46:Y55,5,FALSE))</f>
        <v>9</v>
      </c>
      <c r="AK126" s="1162">
        <f t="shared" ref="AK126:AK132" si="24">IF(1*ISERROR(VLOOKUP(Z126,U46:Z55,5,FALSE))=1,0,VLOOKUP(Z126,U46:Z55,5,FALSE))</f>
        <v>9</v>
      </c>
      <c r="AL126" s="1162">
        <f t="shared" si="8"/>
        <v>55</v>
      </c>
      <c r="AM126" s="1162">
        <f>IF(AL126=0,35,_xlfn.RANK.EQ(AL126,AL98:AL132))</f>
        <v>5</v>
      </c>
      <c r="AN126" s="1162">
        <f>IF(AM126=35,35,AM126+COUNTIF(AM$98:AM125,AM126)/COUNTIF(AM$98:AM$132,AM126))</f>
        <v>5</v>
      </c>
      <c r="AO126" s="1162">
        <f t="shared" si="9"/>
        <v>5</v>
      </c>
      <c r="AP126" s="1162" t="s">
        <v>387</v>
      </c>
      <c r="AQ126" s="1162">
        <f>IF(1*ISERROR(VLOOKUP(Z126,C56:Y65,23,FALSE)-10)=1,0,VLOOKUP(Z126,C56:Y65,23,FALSE)-10)</f>
        <v>0</v>
      </c>
      <c r="AR126" s="1162">
        <f>IF(1*ISERROR(VLOOKUP(Z126,E56:Y65,21,FALSE)-10)=1,0,VLOOKUP(Z126,E56:Y65,21,FALSE)-10)</f>
        <v>0</v>
      </c>
      <c r="AS126" s="1162">
        <f>IF(1*ISERROR(VLOOKUP(Z126,G56:Y65,19,FALSE)-10)=1,0,VLOOKUP(Z126,G56:Y65,19,FALSE)-10)</f>
        <v>0</v>
      </c>
      <c r="AT126" s="1162">
        <f>IF(1*ISERROR(VLOOKUP(Z126,I56:Y65,17,FALSE)-10)=1,0,VLOOKUP(Z126,I56:Y65,17,FALSE)-10)</f>
        <v>0</v>
      </c>
      <c r="AU126" s="1162">
        <f>IF(1*ISERROR(VLOOKUP(Z126,K56:Y65,15,FALSE)-10)=1,0,VLOOKUP(Z126,K56:Y65,15,FALSE)-10)</f>
        <v>0</v>
      </c>
      <c r="AV126" s="1162">
        <f>IF(1*ISERROR(VLOOKUP(Z126,M56:Y65,13,FALSE)-10)=1,0,VLOOKUP(Z126,M56:Y65,13,FALSE)-10)</f>
        <v>0</v>
      </c>
      <c r="AW126" s="1162">
        <f>IF(1*ISERROR(VLOOKUP(Z126,O56:Y65,11,FALSE)-10)=1,0,VLOOKUP(Z126,O56:Y65,11,FALSE)-10)</f>
        <v>0</v>
      </c>
      <c r="AX126" s="1162">
        <f>IF(1*ISERROR(VLOOKUP(Z126,Q56:Y65,9,FALSE)-10)=1,0,VLOOKUP(Z126,Q56:Y65,9,FALSE)-10)</f>
        <v>0</v>
      </c>
      <c r="AY126" s="1162">
        <f>IF(1*ISERROR(VLOOKUP(Z126,S56:Y65,7,FALSE)-10)=1,0,VLOOKUP(Z126,S56:Y65,7,FALSE)-10)</f>
        <v>0</v>
      </c>
      <c r="AZ126" s="1163">
        <f>IF(1*ISERROR(VLOOKUP(Z126,U56:Y65,5,FALSE)-10)=1,0,VLOOKUP(Z126,U56:Y65,5,FALSE)-10)</f>
        <v>0</v>
      </c>
      <c r="BA126" s="1162">
        <f t="shared" si="10"/>
        <v>0</v>
      </c>
      <c r="BB126" s="1162">
        <f>IF(BA126=0,35,_xlfn.RANK.EQ(BA126,BA98:BA132))</f>
        <v>35</v>
      </c>
      <c r="BC126" s="1162">
        <f>IF(BB126=35,35,BB126+COUNTIF(BB$98:BB125,BB126)/COUNTIF(BB$98:BB$132,BB126))</f>
        <v>35</v>
      </c>
      <c r="BD126" s="1162">
        <f t="shared" si="11"/>
        <v>13</v>
      </c>
      <c r="BE126" s="1162" t="s">
        <v>387</v>
      </c>
      <c r="BF126" s="1162">
        <f>IF(1*ISERROR(VLOOKUP(Z126,C66:Y75,23,FALSE)-20)=1,0,VLOOKUP(Z126,C66:Y75,23,FALSE)-20)</f>
        <v>0</v>
      </c>
      <c r="BG126" s="1162">
        <f>IF(1*ISERROR(VLOOKUP(Z126,E66:Y75,21,FALSE)-20)=1,0,VLOOKUP(Z126,E66:Y75,21,FALSE)-20)</f>
        <v>10</v>
      </c>
      <c r="BH126" s="1162">
        <f>IF(1*ISERROR(VLOOKUP(Z126,G66:Y75,19,FALSE)-20)=1,0,VLOOKUP(Z126,G66:Y75,19,FALSE)-20)</f>
        <v>10</v>
      </c>
      <c r="BI126" s="1162">
        <f>IF(1*ISERROR(VLOOKUP(Z126,I66:Y75,17,FALSE)-20)=1,0,VLOOKUP(Z126,I66:Y75,17,FALSE)-20)</f>
        <v>0</v>
      </c>
      <c r="BJ126" s="1162">
        <f>IF(1*ISERROR(VLOOKUP(Z126,K66:Y75,15,FALSE)-20)=1,0,VLOOKUP(Z126,K66:Y75,15,FALSE)-20)</f>
        <v>10</v>
      </c>
      <c r="BK126" s="1162">
        <f>IF(1*ISERROR(VLOOKUP(Z126,M66:Y75,13,FALSE)-20)=1,0,VLOOKUP(Z126,M66:Y75,13,FALSE)-20)</f>
        <v>9</v>
      </c>
      <c r="BL126" s="1162">
        <f>IF(1*ISERROR(VLOOKUP(Z126,O66:Y75,11,FALSE)-20)=1,0,VLOOKUP(Z126,O66:Y75,11,FALSE)-20)</f>
        <v>9</v>
      </c>
      <c r="BM126" s="1162">
        <f>IF(1*ISERROR(VLOOKUP(Z126,Q66:Y75,9,FALSE)-20)=1,0,VLOOKUP(Z126,Q66:Y75,9,FALSE)-20)</f>
        <v>9</v>
      </c>
      <c r="BN126" s="1162">
        <f>IF(1*ISERROR(VLOOKUP(Z126,S66:Y75,7,FALSE)-20)=1,0,VLOOKUP(Z126,S66:Y75,7,FALSE)-20)</f>
        <v>9</v>
      </c>
      <c r="BO126" s="1162">
        <f>IF(1*ISERROR(VLOOKUP(Z126,U66:Y75,5,FALSE)-20)=1,0,VLOOKUP(Z126,U66:Y75,5,FALSE)-20)</f>
        <v>10</v>
      </c>
      <c r="BP126" s="1162">
        <v>11</v>
      </c>
      <c r="BQ126" s="1162">
        <f t="shared" si="12"/>
        <v>87</v>
      </c>
      <c r="BR126" s="1162">
        <f>IF(BQ126=0,35,_xlfn.RANK.EQ(BQ126,BQ98:BQ132))</f>
        <v>2</v>
      </c>
      <c r="BS126" s="1162">
        <f>IF(BR126=35,35,BR126+COUNTIF(BR$98:BR125,BR126)/COUNTIF(BR$98:BR$132,BR126))</f>
        <v>2</v>
      </c>
      <c r="BT126" s="1162">
        <f t="shared" si="13"/>
        <v>2</v>
      </c>
      <c r="BU126" s="1162" t="s">
        <v>387</v>
      </c>
      <c r="BV126" s="1162">
        <f>IF(1*ISERROR(VLOOKUP(Z126,C76:Y85,23,FALSE)-30)=1,0,VLOOKUP(Z126,C76:Y85,23,FALSE)-30)</f>
        <v>0</v>
      </c>
      <c r="BW126" s="1162">
        <f>IF(1*ISERROR(VLOOKUP(Z126,E76:Y85,21,FALSE)-30)=1,0,VLOOKUP(Z126,E76:Y85,21,FALSE)-30)</f>
        <v>9</v>
      </c>
      <c r="BX126" s="1162">
        <f>IF(1*ISERROR(VLOOKUP(Z126,G76:Y85,19,FALSE)-30)=1,0,VLOOKUP(Z126,G76:Y85,19,FALSE)-30)</f>
        <v>8</v>
      </c>
      <c r="BY126" s="1162">
        <f>IF(1*ISERROR(VLOOKUP(Z126,I76:Y85,17,FALSE)-30)=1,0,VLOOKUP(Z126,I76:Y85,17,FALSE)-30)</f>
        <v>7</v>
      </c>
      <c r="BZ126" s="1162">
        <f>IF(1*ISERROR(VLOOKUP(Z126,K76:Y85,15,FALSE)-30)=1,0,VLOOKUP(Z126,K76:Y85,15,FALSE)-30)</f>
        <v>6</v>
      </c>
      <c r="CA126" s="1162">
        <f>IF(1*ISERROR(VLOOKUP(Z126,M76:Y85,13,FALSE)-30)=1,0,VLOOKUP(Z126,M76:Y85,13,FALSE)-30)</f>
        <v>5</v>
      </c>
      <c r="CB126" s="1162">
        <f>IF(1*ISERROR(VLOOKUP(Z126,O76:Y85,11,FALSE)-30)=1,0,VLOOKUP(Z126,O76:Y85,11,FALSE)-30)</f>
        <v>5</v>
      </c>
      <c r="CC126" s="1162">
        <f>IF(1*ISERROR(VLOOKUP(Z126,Q76:Y85,9,FALSE)-30)=1,0,VLOOKUP(Z126,Q76:Y85,9,FALSE)-30)</f>
        <v>6</v>
      </c>
      <c r="CD126" s="1162">
        <f>IF(1*ISERROR(VLOOKUP(Z126,S76:Y85,7,FALSE)-30)=1,0,VLOOKUP(Z126,S76:Y85,7,FALSE)-30)</f>
        <v>6</v>
      </c>
      <c r="CE126" s="1162">
        <f>IF(1*ISERROR(VLOOKUP(Z126,U76:Y85,5,FALSE)-30)=1,0,VLOOKUP(Z126,U76:Y85,5,FALSE)-30)</f>
        <v>10</v>
      </c>
      <c r="CF126" s="1163">
        <v>11</v>
      </c>
      <c r="CG126" s="1162">
        <f t="shared" si="14"/>
        <v>62</v>
      </c>
      <c r="CH126" s="1162">
        <f t="shared" si="15"/>
        <v>2</v>
      </c>
      <c r="CI126" s="1162">
        <f>IF(CH126=35,35,CH126+COUNTIF(CH$98:CH125,CH126)/COUNTIF(CH$98:CH$132,CH126))</f>
        <v>2</v>
      </c>
      <c r="CJ126" s="1162">
        <f t="shared" si="16"/>
        <v>2</v>
      </c>
      <c r="CK126" s="1162" t="s">
        <v>387</v>
      </c>
      <c r="CL126" s="1162">
        <f>IF(1*ISERROR(VLOOKUP(Z126,C86:Y95,23,FALSE)-40)=1,0,VLOOKUP(Z126,C86:Y95,23,FALSE)-40)</f>
        <v>0</v>
      </c>
      <c r="CM126" s="1162">
        <f>IF(1*ISERROR(VLOOKUP(Z126,E86:Y95,21,FALSE)-40)=1,0,VLOOKUP(Z126,E86:Y95,21,FALSE)-40)</f>
        <v>0</v>
      </c>
      <c r="CN126" s="1162">
        <f>IF(1*ISERROR(VLOOKUP(Z126,G86:Y95,19,FALSE)-40)=1,0,VLOOKUP(Z126,G86:Y95,19,FALSE)-40)</f>
        <v>0</v>
      </c>
      <c r="CO126" s="1162">
        <f>IF(1*ISERROR(VLOOKUP(Z126,I86:Y95,17,FALSE)-40)=1,0,VLOOKUP(Z126,I86:Y95,17,FALSE)-40)</f>
        <v>0</v>
      </c>
      <c r="CP126" s="1162">
        <f>IF(1*ISERROR(VLOOKUP(Z126,K86:Y95,15,FALSE)-40)=1,0,VLOOKUP(Z126,K86:Y95,15,FALSE)-40)</f>
        <v>0</v>
      </c>
      <c r="CQ126" s="1162">
        <f>IF(1*ISERROR(VLOOKUP(Z126,M86:Y95,13,FALSE)-40)=1,0,VLOOKUP(Z126,M86:Y95,13,FALSE)-40)</f>
        <v>0</v>
      </c>
      <c r="CR126" s="1162">
        <f>IF(1*ISERROR(VLOOKUP(Z126,O86:Y95,11,FALSE)-40)=1,0,VLOOKUP(Z126,O86:Y95,11,FALSE)-40)</f>
        <v>0</v>
      </c>
      <c r="CS126" s="1162">
        <f>IF(1*ISERROR(VLOOKUP(Z126,Q86:Y95,9,FALSE)-40)=1,0,VLOOKUP(Z126,Q86:Y95,9,FALSE)-40)</f>
        <v>0</v>
      </c>
      <c r="CT126" s="1162">
        <f>IF(1*ISERROR(VLOOKUP(Z126,S86:Y95,7,FALSE)-40)=1,0,VLOOKUP(Z126,S86:Y95,7,FALSE)-40)</f>
        <v>0</v>
      </c>
      <c r="CU126" s="1162">
        <f>IF(1*ISERROR(VLOOKUP(Z126,U86:Y95,5,FALSE)-40)=1,0,VLOOKUP(Z126,U86:Y95,5,FALSE)-40)</f>
        <v>0</v>
      </c>
      <c r="CV126" s="1162">
        <v>0</v>
      </c>
      <c r="CW126" s="1162">
        <f t="shared" si="17"/>
        <v>0</v>
      </c>
      <c r="CX126" s="1162">
        <f>IF(CW126=0,35,_xlfn.RANK.EQ(CW126,CW98:CW132))</f>
        <v>35</v>
      </c>
      <c r="CY126" s="1162">
        <f>IF(CX126=35,35,CX126+COUNTIF(CX$98:CX125,CX126)/COUNTIF(CX$98:CX$132,CX126))</f>
        <v>35</v>
      </c>
      <c r="CZ126" s="1162">
        <f t="shared" si="18"/>
        <v>13</v>
      </c>
      <c r="DA126" s="1162" t="s">
        <v>387</v>
      </c>
      <c r="DB126" s="834"/>
      <c r="DC126" s="834"/>
      <c r="DD126" s="839"/>
      <c r="DE126" s="1098"/>
      <c r="DF126" s="1098"/>
      <c r="DG126" s="1098"/>
      <c r="DH126" s="1098"/>
      <c r="DI126" s="1098"/>
      <c r="DJ126" s="1098"/>
      <c r="DK126" s="1098"/>
      <c r="DL126" s="1098"/>
      <c r="DM126" s="1098"/>
      <c r="DN126" s="1098"/>
      <c r="DO126" s="1098"/>
    </row>
    <row r="127" spans="25:119" s="1086" customFormat="1">
      <c r="Y127" s="1113">
        <f t="shared" si="23"/>
        <v>30</v>
      </c>
      <c r="Z127" s="1162" t="s">
        <v>415</v>
      </c>
      <c r="AA127" s="1162">
        <f>IF(1*ISERROR(VLOOKUP(Z127,C46:Y55,23,FALSE))=1,0,VLOOKUP(Z127,C46:Y55,23,FALSE))</f>
        <v>0</v>
      </c>
      <c r="AB127" s="1162">
        <f>IF(1*ISERROR(VLOOKUP(Z127,E46:Y55,21,FALSE))=1,0,VLOOKUP(Z127,E46:Y55,21,FALSE))</f>
        <v>0</v>
      </c>
      <c r="AC127" s="1162">
        <f>IF(1*ISERROR(VLOOKUP(Z127,G46:Y55,19,FALSE))=1,0,VLOOKUP(Z127,G46:Y55,19,FALSE))</f>
        <v>0</v>
      </c>
      <c r="AD127" s="1162">
        <f>IF(1*ISERROR(VLOOKUP(Z127,I46:Y55,17,FALSE))=1,0,VLOOKUP(Z127,I46:Y55,17,FALSE))</f>
        <v>0</v>
      </c>
      <c r="AE127" s="1162">
        <f>IF(1*ISERROR(VLOOKUP(Z127,K46:Y55,15,FALSE))=1,0,VLOOKUP(Z127,K46:Y55,15,FALSE))</f>
        <v>0</v>
      </c>
      <c r="AF127" s="1162">
        <f>IF(1*ISERROR(VLOOKUP(Z127,M46:Y55,13,FALSE))=1,0,VLOOKUP(Z127,M46:Y55,13,FALSE))</f>
        <v>0</v>
      </c>
      <c r="AG127" s="1162">
        <f>IF(1*ISERROR(VLOOKUP(Z127,O46:Y55,11,FALSE))=1,0,VLOOKUP(Z127,O46:Y55,11,FALSE))</f>
        <v>0</v>
      </c>
      <c r="AH127" s="1162">
        <f>IF(1*ISERROR(VLOOKUP(Z127,Q46:Y55,9,FALSE))=1,0,VLOOKUP(Z127,Q46:Y55,9,FALSE))</f>
        <v>0</v>
      </c>
      <c r="AI127" s="1162">
        <f>IF(1*ISERROR(VLOOKUP(Z127,S46:Y55,7,FALSE))=1,0,VLOOKUP(Z127,S46:Y55,7,FALSE))</f>
        <v>0</v>
      </c>
      <c r="AJ127" s="1162">
        <f>IF(1*ISERROR(VLOOKUP(Z127,U46:Y55,5,FALSE))=1,0,VLOOKUP(Z127,U46:Y55,5,FALSE))</f>
        <v>0</v>
      </c>
      <c r="AK127" s="1162">
        <f t="shared" si="24"/>
        <v>0</v>
      </c>
      <c r="AL127" s="1162">
        <f t="shared" si="8"/>
        <v>0</v>
      </c>
      <c r="AM127" s="1162">
        <f>IF(AL127=0,35,_xlfn.RANK.EQ(AL127,AL98:AL132))</f>
        <v>35</v>
      </c>
      <c r="AN127" s="1162">
        <f>IF(AM127=35,35,AM127+COUNTIF(AM$98:AM126,AM127)/COUNTIF(AM$98:AM$132,AM127))</f>
        <v>35</v>
      </c>
      <c r="AO127" s="1162">
        <f t="shared" si="9"/>
        <v>13</v>
      </c>
      <c r="AP127" s="1162" t="s">
        <v>415</v>
      </c>
      <c r="AQ127" s="1162">
        <f>IF(1*ISERROR(VLOOKUP(Z127,C56:Y65,23,FALSE)-10)=1,0,VLOOKUP(Z127,C56:Y65,23,FALSE)-10)</f>
        <v>0</v>
      </c>
      <c r="AR127" s="1162">
        <f>IF(1*ISERROR(VLOOKUP(Z127,E56:Y65,21,FALSE)-10)=1,0,VLOOKUP(Z127,E56:Y65,21,FALSE)-10)</f>
        <v>0</v>
      </c>
      <c r="AS127" s="1162">
        <f>IF(1*ISERROR(VLOOKUP(Z127,G56:Y65,19,FALSE)-10)=1,0,VLOOKUP(Z127,G56:Y65,19,FALSE)-10)</f>
        <v>0</v>
      </c>
      <c r="AT127" s="1162">
        <f>IF(1*ISERROR(VLOOKUP(Z127,I56:Y65,17,FALSE)-10)=1,0,VLOOKUP(Z127,I56:Y65,17,FALSE)-10)</f>
        <v>0</v>
      </c>
      <c r="AU127" s="1162">
        <f>IF(1*ISERROR(VLOOKUP(Z127,K56:Y65,15,FALSE)-10)=1,0,VLOOKUP(Z127,K56:Y65,15,FALSE)-10)</f>
        <v>0</v>
      </c>
      <c r="AV127" s="1162">
        <f>IF(1*ISERROR(VLOOKUP(Z127,M56:Y65,13,FALSE)-10)=1,0,VLOOKUP(Z127,M56:Y65,13,FALSE)-10)</f>
        <v>0</v>
      </c>
      <c r="AW127" s="1162">
        <f>IF(1*ISERROR(VLOOKUP(Z127,O56:Y65,11,FALSE)-10)=1,0,VLOOKUP(Z127,O56:Y65,11,FALSE)-10)</f>
        <v>0</v>
      </c>
      <c r="AX127" s="1162">
        <f>IF(1*ISERROR(VLOOKUP(Z127,Q56:Y65,9,FALSE)-10)=1,0,VLOOKUP(Z127,Q56:Y65,9,FALSE)-10)</f>
        <v>0</v>
      </c>
      <c r="AY127" s="1162">
        <f>IF(1*ISERROR(VLOOKUP(Z127,S56:Y65,7,FALSE)-10)=1,0,VLOOKUP(Z127,S56:Y65,7,FALSE)-10)</f>
        <v>0</v>
      </c>
      <c r="AZ127" s="1163">
        <f>IF(1*ISERROR(VLOOKUP(Z127,U56:Y65,5,FALSE)-10)=1,0,VLOOKUP(Z127,U56:Y65,5,FALSE)-10)</f>
        <v>0</v>
      </c>
      <c r="BA127" s="1162">
        <f t="shared" si="10"/>
        <v>0</v>
      </c>
      <c r="BB127" s="1162">
        <f>IF(BA127=0,35,_xlfn.RANK.EQ(BA127,BA98:BA132))</f>
        <v>35</v>
      </c>
      <c r="BC127" s="1162">
        <f>IF(BB127=35,35,BB127+COUNTIF(BB$98:BB126,BB127)/COUNTIF(BB$98:BB$132,BB127))</f>
        <v>35</v>
      </c>
      <c r="BD127" s="1162">
        <f t="shared" si="11"/>
        <v>13</v>
      </c>
      <c r="BE127" s="1162" t="s">
        <v>415</v>
      </c>
      <c r="BF127" s="1162">
        <f>IF(1*ISERROR(VLOOKUP(Z127,C66:Y75,23,FALSE)-20)=1,0,VLOOKUP(Z127,C66:Y75,23,FALSE)-20)</f>
        <v>0</v>
      </c>
      <c r="BG127" s="1162">
        <f>IF(1*ISERROR(VLOOKUP(Z127,E66:Y75,21,FALSE)-20)=1,0,VLOOKUP(Z127,E66:Y75,21,FALSE)-20)</f>
        <v>0</v>
      </c>
      <c r="BH127" s="1162">
        <f>IF(1*ISERROR(VLOOKUP(Z127,G66:Y75,19,FALSE)-20)=1,0,VLOOKUP(Z127,G66:Y75,19,FALSE)-20)</f>
        <v>0</v>
      </c>
      <c r="BI127" s="1162">
        <f>IF(1*ISERROR(VLOOKUP(Z127,I66:Y75,17,FALSE)-20)=1,0,VLOOKUP(Z127,I66:Y75,17,FALSE)-20)</f>
        <v>0</v>
      </c>
      <c r="BJ127" s="1162">
        <f>IF(1*ISERROR(VLOOKUP(Z127,K66:Y75,15,FALSE)-20)=1,0,VLOOKUP(Z127,K66:Y75,15,FALSE)-20)</f>
        <v>0</v>
      </c>
      <c r="BK127" s="1162">
        <f>IF(1*ISERROR(VLOOKUP(Z127,M66:Y75,13,FALSE)-20)=1,0,VLOOKUP(Z127,M66:Y75,13,FALSE)-20)</f>
        <v>0</v>
      </c>
      <c r="BL127" s="1162">
        <f>IF(1*ISERROR(VLOOKUP(Z127,O66:Y75,11,FALSE)-20)=1,0,VLOOKUP(Z127,O66:Y75,11,FALSE)-20)</f>
        <v>0</v>
      </c>
      <c r="BM127" s="1162">
        <f>IF(1*ISERROR(VLOOKUP(Z127,Q66:Y75,9,FALSE)-20)=1,0,VLOOKUP(Z127,Q66:Y75,9,FALSE)-20)</f>
        <v>0</v>
      </c>
      <c r="BN127" s="1162">
        <f>IF(1*ISERROR(VLOOKUP(Z127,S66:Y75,7,FALSE)-20)=1,0,VLOOKUP(Z127,S66:Y75,7,FALSE)-20)</f>
        <v>0</v>
      </c>
      <c r="BO127" s="1162">
        <f>IF(1*ISERROR(VLOOKUP(Z127,U66:Y75,5,FALSE)-20)=1,0,VLOOKUP(Z127,U66:Y75,5,FALSE)-20)</f>
        <v>0</v>
      </c>
      <c r="BP127" s="1162">
        <f t="shared" si="20"/>
        <v>0</v>
      </c>
      <c r="BQ127" s="1162">
        <f t="shared" si="12"/>
        <v>0</v>
      </c>
      <c r="BR127" s="1162">
        <f>IF(BQ127=0,35,_xlfn.RANK.EQ(BQ127,BQ98:BQ132))</f>
        <v>35</v>
      </c>
      <c r="BS127" s="1162">
        <f>IF(BR127=35,35,BR127+COUNTIF(BR$98:BR126,BR127)/COUNTIF(BR$98:BR$132,BR127))</f>
        <v>35</v>
      </c>
      <c r="BT127" s="1162">
        <f t="shared" si="13"/>
        <v>13</v>
      </c>
      <c r="BU127" s="1162" t="s">
        <v>415</v>
      </c>
      <c r="BV127" s="1162">
        <f>IF(1*ISERROR(VLOOKUP(Z127,C76:Y85,23,FALSE)-30)=1,0,VLOOKUP(Z127,C76:Y85,23,FALSE)-30)</f>
        <v>0</v>
      </c>
      <c r="BW127" s="1162">
        <f>IF(1*ISERROR(VLOOKUP(Z127,E76:Y85,21,FALSE)-30)=1,0,VLOOKUP(Z127,E76:Y85,21,FALSE)-30)</f>
        <v>0</v>
      </c>
      <c r="BX127" s="1162">
        <f>IF(1*ISERROR(VLOOKUP(Z127,G76:Y85,19,FALSE)-30)=1,0,VLOOKUP(Z127,G76:Y85,19,FALSE)-30)</f>
        <v>0</v>
      </c>
      <c r="BY127" s="1162">
        <f>IF(1*ISERROR(VLOOKUP(Z127,I76:Y85,17,FALSE)-30)=1,0,VLOOKUP(Z127,I76:Y85,17,FALSE)-30)</f>
        <v>0</v>
      </c>
      <c r="BZ127" s="1162">
        <f>IF(1*ISERROR(VLOOKUP(Z127,K76:Y85,15,FALSE)-30)=1,0,VLOOKUP(Z127,K76:Y85,15,FALSE)-30)</f>
        <v>0</v>
      </c>
      <c r="CA127" s="1162">
        <f>IF(1*ISERROR(VLOOKUP(Z127,M76:Y85,13,FALSE)-30)=1,0,VLOOKUP(Z127,M76:Y85,13,FALSE)-30)</f>
        <v>0</v>
      </c>
      <c r="CB127" s="1162">
        <f>IF(1*ISERROR(VLOOKUP(Z127,O76:Y85,11,FALSE)-30)=1,0,VLOOKUP(Z127,O76:Y85,11,FALSE)-30)</f>
        <v>0</v>
      </c>
      <c r="CC127" s="1162">
        <f>IF(1*ISERROR(VLOOKUP(Z127,Q76:Y85,9,FALSE)-30)=1,0,VLOOKUP(Z127,Q76:Y85,9,FALSE)-30)</f>
        <v>0</v>
      </c>
      <c r="CD127" s="1162">
        <f>IF(1*ISERROR(VLOOKUP(Z127,S76:Y85,7,FALSE)-30)=1,0,VLOOKUP(Z127,S76:Y85,7,FALSE)-30)</f>
        <v>0</v>
      </c>
      <c r="CE127" s="1162">
        <f>IF(1*ISERROR(VLOOKUP(Z127,U76:Y85,5,FALSE)-30)=1,0,VLOOKUP(Z127,U76:Y85,5,FALSE)-30)</f>
        <v>0</v>
      </c>
      <c r="CF127" s="1163">
        <f t="shared" si="21"/>
        <v>0</v>
      </c>
      <c r="CG127" s="1162">
        <f t="shared" si="14"/>
        <v>0</v>
      </c>
      <c r="CH127" s="1162">
        <f t="shared" si="15"/>
        <v>35</v>
      </c>
      <c r="CI127" s="1162">
        <f>IF(CH127=35,35,CH127+COUNTIF(CH$98:CH126,CH127)/COUNTIF(CH$98:CH$132,CH127))</f>
        <v>35</v>
      </c>
      <c r="CJ127" s="1162">
        <f t="shared" si="16"/>
        <v>20</v>
      </c>
      <c r="CK127" s="1162" t="s">
        <v>415</v>
      </c>
      <c r="CL127" s="1162">
        <f>IF(1*ISERROR(VLOOKUP(Z127,C86:Y95,23,FALSE)-40)=1,0,VLOOKUP(Z127,C86:Y95,23,FALSE)-40)</f>
        <v>0</v>
      </c>
      <c r="CM127" s="1162">
        <f>IF(1*ISERROR(VLOOKUP(Z127,E86:Y95,21,FALSE)-40)=1,0,VLOOKUP(Z127,E86:Y95,21,FALSE)-40)</f>
        <v>0</v>
      </c>
      <c r="CN127" s="1162">
        <f>IF(1*ISERROR(VLOOKUP(Z127,G86:Y95,19,FALSE)-40)=1,0,VLOOKUP(Z127,G86:Y95,19,FALSE)-40)</f>
        <v>0</v>
      </c>
      <c r="CO127" s="1162">
        <f>IF(1*ISERROR(VLOOKUP(Z127,I86:Y95,17,FALSE)-40)=1,0,VLOOKUP(Z127,I86:Y95,17,FALSE)-40)</f>
        <v>0</v>
      </c>
      <c r="CP127" s="1162">
        <f>IF(1*ISERROR(VLOOKUP(Z127,K86:Y95,15,FALSE)-40)=1,0,VLOOKUP(Z127,K86:Y95,15,FALSE)-40)</f>
        <v>0</v>
      </c>
      <c r="CQ127" s="1162">
        <f>IF(1*ISERROR(VLOOKUP(Z127,M86:Y95,13,FALSE)-40)=1,0,VLOOKUP(Z127,M86:Y95,13,FALSE)-40)</f>
        <v>0</v>
      </c>
      <c r="CR127" s="1162">
        <f>IF(1*ISERROR(VLOOKUP(Z127,O86:Y95,11,FALSE)-40)=1,0,VLOOKUP(Z127,O86:Y95,11,FALSE)-40)</f>
        <v>0</v>
      </c>
      <c r="CS127" s="1162">
        <f>IF(1*ISERROR(VLOOKUP(Z127,Q86:Y95,9,FALSE)-40)=1,0,VLOOKUP(Z127,Q86:Y95,9,FALSE)-40)</f>
        <v>0</v>
      </c>
      <c r="CT127" s="1162">
        <f>IF(1*ISERROR(VLOOKUP(Z127,S86:Y95,7,FALSE)-40)=1,0,VLOOKUP(Z127,S86:Y95,7,FALSE)-40)</f>
        <v>0</v>
      </c>
      <c r="CU127" s="1162">
        <f>IF(1*ISERROR(VLOOKUP(Z127,U86:Y95,5,FALSE)-40)=1,0,VLOOKUP(Z127,U86:Y95,5,FALSE)-40)</f>
        <v>0</v>
      </c>
      <c r="CV127" s="1162">
        <v>0</v>
      </c>
      <c r="CW127" s="1162">
        <f t="shared" si="17"/>
        <v>0</v>
      </c>
      <c r="CX127" s="1162">
        <f>IF(CW127=0,35,_xlfn.RANK.EQ(CW127,CW98:CW132))</f>
        <v>35</v>
      </c>
      <c r="CY127" s="1162">
        <f>IF(CX127=35,35,CX127+COUNTIF(CX$98:CX126,CX127)/COUNTIF(CX$98:CX$132,CX127))</f>
        <v>35</v>
      </c>
      <c r="CZ127" s="1162">
        <f t="shared" si="18"/>
        <v>13</v>
      </c>
      <c r="DA127" s="1162" t="s">
        <v>415</v>
      </c>
      <c r="DB127" s="834"/>
      <c r="DC127" s="834"/>
      <c r="DD127" s="839"/>
      <c r="DE127" s="1098"/>
      <c r="DF127" s="1098"/>
      <c r="DG127" s="1098"/>
      <c r="DH127" s="1098"/>
      <c r="DI127" s="1098"/>
      <c r="DJ127" s="1098"/>
      <c r="DK127" s="1098"/>
      <c r="DL127" s="1098"/>
      <c r="DM127" s="1098"/>
      <c r="DN127" s="1098"/>
      <c r="DO127" s="1098"/>
    </row>
    <row r="128" spans="25:119" s="1086" customFormat="1">
      <c r="Y128" s="1113">
        <f t="shared" si="23"/>
        <v>31</v>
      </c>
      <c r="Z128" s="1162" t="s">
        <v>416</v>
      </c>
      <c r="AA128" s="1162">
        <f>IF(1*ISERROR(VLOOKUP(Z128,C46:Y55,23,FALSE))=1,0,VLOOKUP(Z128,C46:Y55,23,FALSE))</f>
        <v>0</v>
      </c>
      <c r="AB128" s="1162">
        <f>IF(1*ISERROR(VLOOKUP(Z128,E46:Y55,21,FALSE))=1,0,VLOOKUP(Z128,E46:Y55,21,FALSE))</f>
        <v>0</v>
      </c>
      <c r="AC128" s="1162">
        <f>IF(1*ISERROR(VLOOKUP(Z128,G46:Y55,19,FALSE))=1,0,VLOOKUP(Z128,G46:Y55,19,FALSE))</f>
        <v>0</v>
      </c>
      <c r="AD128" s="1162">
        <f>IF(1*ISERROR(VLOOKUP(Z128,I46:Y55,17,FALSE))=1,0,VLOOKUP(Z128,I46:Y55,17,FALSE))</f>
        <v>0</v>
      </c>
      <c r="AE128" s="1162">
        <f>IF(1*ISERROR(VLOOKUP(Z128,K46:Y55,15,FALSE))=1,0,VLOOKUP(Z128,K46:Y55,15,FALSE))</f>
        <v>0</v>
      </c>
      <c r="AF128" s="1162">
        <f>IF(1*ISERROR(VLOOKUP(Z128,M46:Y55,13,FALSE))=1,0,VLOOKUP(Z128,M46:Y55,13,FALSE))</f>
        <v>0</v>
      </c>
      <c r="AG128" s="1162">
        <f>IF(1*ISERROR(VLOOKUP(Z128,O46:Y55,11,FALSE))=1,0,VLOOKUP(Z128,O46:Y55,11,FALSE))</f>
        <v>0</v>
      </c>
      <c r="AH128" s="1162">
        <f>IF(1*ISERROR(VLOOKUP(Z128,Q46:Y55,9,FALSE))=1,0,VLOOKUP(Z128,Q46:Y55,9,FALSE))</f>
        <v>0</v>
      </c>
      <c r="AI128" s="1162">
        <f>IF(1*ISERROR(VLOOKUP(Z128,S46:Y55,7,FALSE))=1,0,VLOOKUP(Z128,S46:Y55,7,FALSE))</f>
        <v>0</v>
      </c>
      <c r="AJ128" s="1162">
        <f>IF(1*ISERROR(VLOOKUP(Z128,U46:Y55,5,FALSE))=1,0,VLOOKUP(Z128,U46:Y55,5,FALSE))</f>
        <v>0</v>
      </c>
      <c r="AK128" s="1162">
        <f t="shared" si="24"/>
        <v>0</v>
      </c>
      <c r="AL128" s="1162">
        <f t="shared" si="8"/>
        <v>0</v>
      </c>
      <c r="AM128" s="1162">
        <f>IF(AL128=0,35,_xlfn.RANK.EQ(AL128,AL98:AL132))</f>
        <v>35</v>
      </c>
      <c r="AN128" s="1162">
        <f>IF(AM128=35,35,AM128+COUNTIF(AM$98:AM127,AM128)/COUNTIF(AM$98:AM$132,AM128))</f>
        <v>35</v>
      </c>
      <c r="AO128" s="1162">
        <f t="shared" si="9"/>
        <v>13</v>
      </c>
      <c r="AP128" s="1162" t="s">
        <v>416</v>
      </c>
      <c r="AQ128" s="1162">
        <f>IF(1*ISERROR(VLOOKUP(Z128,C56:Y65,23,FALSE)-10)=1,0,VLOOKUP(Z128,C56:Y65,23,FALSE)-10)</f>
        <v>0</v>
      </c>
      <c r="AR128" s="1162">
        <f>IF(1*ISERROR(VLOOKUP(Z128,E56:Y65,21,FALSE)-10)=1,0,VLOOKUP(Z128,E56:Y65,21,FALSE)-10)</f>
        <v>0</v>
      </c>
      <c r="AS128" s="1162">
        <f>IF(1*ISERROR(VLOOKUP(Z128,G56:Y65,19,FALSE)-10)=1,0,VLOOKUP(Z128,G56:Y65,19,FALSE)-10)</f>
        <v>0</v>
      </c>
      <c r="AT128" s="1162">
        <f>IF(1*ISERROR(VLOOKUP(Z128,I56:Y65,17,FALSE)-10)=1,0,VLOOKUP(Z128,I56:Y65,17,FALSE)-10)</f>
        <v>0</v>
      </c>
      <c r="AU128" s="1162">
        <f>IF(1*ISERROR(VLOOKUP(Z128,K56:Y65,15,FALSE)-10)=1,0,VLOOKUP(Z128,K56:Y65,15,FALSE)-10)</f>
        <v>0</v>
      </c>
      <c r="AV128" s="1162">
        <f>IF(1*ISERROR(VLOOKUP(Z128,M56:Y65,13,FALSE)-10)=1,0,VLOOKUP(Z128,M56:Y65,13,FALSE)-10)</f>
        <v>0</v>
      </c>
      <c r="AW128" s="1162">
        <f>IF(1*ISERROR(VLOOKUP(Z128,O56:Y65,11,FALSE)-10)=1,0,VLOOKUP(Z128,O56:Y65,11,FALSE)-10)</f>
        <v>0</v>
      </c>
      <c r="AX128" s="1162">
        <f>IF(1*ISERROR(VLOOKUP(Z128,Q56:Y65,9,FALSE)-10)=1,0,VLOOKUP(Z128,Q56:Y65,9,FALSE)-10)</f>
        <v>0</v>
      </c>
      <c r="AY128" s="1162">
        <f>IF(1*ISERROR(VLOOKUP(Z128,S56:Y65,7,FALSE)-10)=1,0,VLOOKUP(Z128,S56:Y65,7,FALSE)-10)</f>
        <v>0</v>
      </c>
      <c r="AZ128" s="1163">
        <f>IF(1*ISERROR(VLOOKUP(Z128,U56:Y65,5,FALSE)-10)=1,0,VLOOKUP(Z128,U56:Y65,5,FALSE)-10)</f>
        <v>0</v>
      </c>
      <c r="BA128" s="1162">
        <f t="shared" si="10"/>
        <v>0</v>
      </c>
      <c r="BB128" s="1162">
        <f>IF(BA128=0,35,_xlfn.RANK.EQ(BA128,BA98:BA132))</f>
        <v>35</v>
      </c>
      <c r="BC128" s="1162">
        <f>IF(BB128=35,35,BB128+COUNTIF(BB$98:BB127,BB128)/COUNTIF(BB$98:BB$132,BB128))</f>
        <v>35</v>
      </c>
      <c r="BD128" s="1162">
        <f t="shared" si="11"/>
        <v>13</v>
      </c>
      <c r="BE128" s="1162" t="s">
        <v>416</v>
      </c>
      <c r="BF128" s="1162">
        <f>IF(1*ISERROR(VLOOKUP(Z128,C66:Y75,23,FALSE)-20)=1,0,VLOOKUP(Z128,C66:Y75,23,FALSE)-20)</f>
        <v>0</v>
      </c>
      <c r="BG128" s="1162">
        <f>IF(1*ISERROR(VLOOKUP(Z128,E66:Y75,21,FALSE)-20)=1,0,VLOOKUP(Z128,E66:Y75,21,FALSE)-20)</f>
        <v>0</v>
      </c>
      <c r="BH128" s="1162">
        <f>IF(1*ISERROR(VLOOKUP(Z128,G66:Y75,19,FALSE)-20)=1,0,VLOOKUP(Z128,G66:Y75,19,FALSE)-20)</f>
        <v>0</v>
      </c>
      <c r="BI128" s="1162">
        <f>IF(1*ISERROR(VLOOKUP(Z128,I66:Y75,17,FALSE)-20)=1,0,VLOOKUP(Z128,I66:Y75,17,FALSE)-20)</f>
        <v>0</v>
      </c>
      <c r="BJ128" s="1162">
        <f>IF(1*ISERROR(VLOOKUP(Z128,K66:Y75,15,FALSE)-20)=1,0,VLOOKUP(Z128,K66:Y75,15,FALSE)-20)</f>
        <v>0</v>
      </c>
      <c r="BK128" s="1162">
        <f>IF(1*ISERROR(VLOOKUP(Z128,M66:Y75,13,FALSE)-20)=1,0,VLOOKUP(Z128,M66:Y75,13,FALSE)-20)</f>
        <v>0</v>
      </c>
      <c r="BL128" s="1162">
        <f>IF(1*ISERROR(VLOOKUP(Z128,O66:Y75,11,FALSE)-20)=1,0,VLOOKUP(Z128,O66:Y75,11,FALSE)-20)</f>
        <v>0</v>
      </c>
      <c r="BM128" s="1162">
        <f>IF(1*ISERROR(VLOOKUP(Z128,Q66:Y75,9,FALSE)-20)=1,0,VLOOKUP(Z128,Q66:Y75,9,FALSE)-20)</f>
        <v>0</v>
      </c>
      <c r="BN128" s="1162">
        <f>IF(1*ISERROR(VLOOKUP(Z128,S66:Y75,7,FALSE)-20)=1,0,VLOOKUP(Z128,S66:Y75,7,FALSE)-20)</f>
        <v>0</v>
      </c>
      <c r="BO128" s="1162">
        <f>IF(1*ISERROR(VLOOKUP(Z128,U66:Y75,5,FALSE)-20)=1,0,VLOOKUP(Z128,U66:Y75,5,FALSE)-20)</f>
        <v>0</v>
      </c>
      <c r="BP128" s="1162">
        <f t="shared" si="20"/>
        <v>0</v>
      </c>
      <c r="BQ128" s="1162">
        <f t="shared" si="12"/>
        <v>0</v>
      </c>
      <c r="BR128" s="1162">
        <f>IF(BQ128=0,35,_xlfn.RANK.EQ(BQ128,BQ98:BQ132))</f>
        <v>35</v>
      </c>
      <c r="BS128" s="1162">
        <f>IF(BR128=35,35,BR128+COUNTIF(BR$98:BR127,BR128)/COUNTIF(BR$98:BR$132,BR128))</f>
        <v>35</v>
      </c>
      <c r="BT128" s="1162">
        <f t="shared" si="13"/>
        <v>13</v>
      </c>
      <c r="BU128" s="1162" t="s">
        <v>416</v>
      </c>
      <c r="BV128" s="1162">
        <f>IF(1*ISERROR(VLOOKUP(Z128,C76:Y85,23,FALSE)-30)=1,0,VLOOKUP(Z128,C76:Y85,23,FALSE)-30)</f>
        <v>0</v>
      </c>
      <c r="BW128" s="1162">
        <f>IF(1*ISERROR(VLOOKUP(Z128,E76:Y85,21,FALSE)-30)=1,0,VLOOKUP(Z128,E76:Y85,21,FALSE)-30)</f>
        <v>0</v>
      </c>
      <c r="BX128" s="1162">
        <f>IF(1*ISERROR(VLOOKUP(Z128,G76:Y85,19,FALSE)-30)=1,0,VLOOKUP(Z128,G76:Y85,19,FALSE)-30)</f>
        <v>0</v>
      </c>
      <c r="BY128" s="1162">
        <f>IF(1*ISERROR(VLOOKUP(Z128,I76:Y85,17,FALSE)-30)=1,0,VLOOKUP(Z128,I76:Y85,17,FALSE)-30)</f>
        <v>0</v>
      </c>
      <c r="BZ128" s="1162">
        <f>IF(1*ISERROR(VLOOKUP(Z128,K76:Y85,15,FALSE)-30)=1,0,VLOOKUP(Z128,K76:Y85,15,FALSE)-30)</f>
        <v>0</v>
      </c>
      <c r="CA128" s="1162">
        <f>IF(1*ISERROR(VLOOKUP(Z128,M76:Y85,13,FALSE)-30)=1,0,VLOOKUP(Z128,M76:Y85,13,FALSE)-30)</f>
        <v>0</v>
      </c>
      <c r="CB128" s="1162">
        <f>IF(1*ISERROR(VLOOKUP(Z128,O76:Y85,11,FALSE)-30)=1,0,VLOOKUP(Z128,O76:Y85,11,FALSE)-30)</f>
        <v>0</v>
      </c>
      <c r="CC128" s="1162">
        <f>IF(1*ISERROR(VLOOKUP(Z128,Q76:Y85,9,FALSE)-30)=1,0,VLOOKUP(Z128,Q76:Y85,9,FALSE)-30)</f>
        <v>0</v>
      </c>
      <c r="CD128" s="1162">
        <f>IF(1*ISERROR(VLOOKUP(Z128,S76:Y85,7,FALSE)-30)=1,0,VLOOKUP(Z128,S76:Y85,7,FALSE)-30)</f>
        <v>0</v>
      </c>
      <c r="CE128" s="1162">
        <f>IF(1*ISERROR(VLOOKUP(Z128,U76:Y85,5,FALSE)-30)=1,0,VLOOKUP(Z128,U76:Y85,5,FALSE)-30)</f>
        <v>0</v>
      </c>
      <c r="CF128" s="1163">
        <f t="shared" si="21"/>
        <v>0</v>
      </c>
      <c r="CG128" s="1162">
        <f t="shared" si="14"/>
        <v>0</v>
      </c>
      <c r="CH128" s="1162">
        <f t="shared" si="15"/>
        <v>35</v>
      </c>
      <c r="CI128" s="1162">
        <f>IF(CH128=35,35,CH128+COUNTIF(CH$98:CH127,CH128)/COUNTIF(CH$98:CH$132,CH128))</f>
        <v>35</v>
      </c>
      <c r="CJ128" s="1162">
        <f t="shared" si="16"/>
        <v>20</v>
      </c>
      <c r="CK128" s="1162" t="s">
        <v>416</v>
      </c>
      <c r="CL128" s="1162">
        <f>IF(1*ISERROR(VLOOKUP(Z128,C86:Y95,23,FALSE)-40)=1,0,VLOOKUP(Z128,C86:Y95,23,FALSE)-40)</f>
        <v>0</v>
      </c>
      <c r="CM128" s="1162">
        <f>IF(1*ISERROR(VLOOKUP(Z128,E86:Y95,21,FALSE)-40)=1,0,VLOOKUP(Z128,E86:Y95,21,FALSE)-40)</f>
        <v>0</v>
      </c>
      <c r="CN128" s="1162">
        <f>IF(1*ISERROR(VLOOKUP(Z128,G86:Y95,19,FALSE)-40)=1,0,VLOOKUP(Z128,G86:Y95,19,FALSE)-40)</f>
        <v>0</v>
      </c>
      <c r="CO128" s="1162">
        <f>IF(1*ISERROR(VLOOKUP(Z128,I86:Y95,17,FALSE)-40)=1,0,VLOOKUP(Z128,I86:Y95,17,FALSE)-40)</f>
        <v>0</v>
      </c>
      <c r="CP128" s="1162">
        <f>IF(1*ISERROR(VLOOKUP(Z128,K86:Y95,15,FALSE)-40)=1,0,VLOOKUP(Z128,K86:Y95,15,FALSE)-40)</f>
        <v>0</v>
      </c>
      <c r="CQ128" s="1162">
        <f>IF(1*ISERROR(VLOOKUP(Z128,M86:Y95,13,FALSE)-40)=1,0,VLOOKUP(Z128,M86:Y95,13,FALSE)-40)</f>
        <v>0</v>
      </c>
      <c r="CR128" s="1162">
        <f>IF(1*ISERROR(VLOOKUP(Z128,O86:Y95,11,FALSE)-40)=1,0,VLOOKUP(Z128,O86:Y95,11,FALSE)-40)</f>
        <v>0</v>
      </c>
      <c r="CS128" s="1162">
        <f>IF(1*ISERROR(VLOOKUP(Z128,Q86:Y95,9,FALSE)-40)=1,0,VLOOKUP(Z128,Q86:Y95,9,FALSE)-40)</f>
        <v>0</v>
      </c>
      <c r="CT128" s="1162">
        <f>IF(1*ISERROR(VLOOKUP(Z128,S86:Y95,7,FALSE)-40)=1,0,VLOOKUP(Z128,S86:Y95,7,FALSE)-40)</f>
        <v>0</v>
      </c>
      <c r="CU128" s="1162">
        <f>IF(1*ISERROR(VLOOKUP(Z128,U86:Y95,5,FALSE)-40)=1,0,VLOOKUP(Z128,U86:Y95,5,FALSE)-40)</f>
        <v>0</v>
      </c>
      <c r="CV128" s="1162">
        <v>0</v>
      </c>
      <c r="CW128" s="1162">
        <f t="shared" si="17"/>
        <v>0</v>
      </c>
      <c r="CX128" s="1162">
        <f>IF(CW128=0,35,_xlfn.RANK.EQ(CW128,CW98:CW132))</f>
        <v>35</v>
      </c>
      <c r="CY128" s="1162">
        <f>IF(CX128=35,35,CX128+COUNTIF(CX$98:CX127,CX128)/COUNTIF(CX$98:CX$132,CX128))</f>
        <v>35</v>
      </c>
      <c r="CZ128" s="1162">
        <f t="shared" si="18"/>
        <v>13</v>
      </c>
      <c r="DA128" s="1162" t="s">
        <v>416</v>
      </c>
      <c r="DB128" s="834"/>
      <c r="DC128" s="834"/>
      <c r="DD128" s="839"/>
      <c r="DE128" s="1098"/>
      <c r="DF128" s="1098"/>
      <c r="DG128" s="1098"/>
      <c r="DH128" s="1098"/>
      <c r="DI128" s="1098"/>
      <c r="DJ128" s="1098"/>
      <c r="DK128" s="1098"/>
      <c r="DL128" s="1098"/>
      <c r="DM128" s="1098"/>
      <c r="DN128" s="1098"/>
      <c r="DO128" s="1098"/>
    </row>
    <row r="129" spans="25:119" s="1086" customFormat="1">
      <c r="Y129" s="1113">
        <f t="shared" si="23"/>
        <v>32</v>
      </c>
      <c r="Z129" s="1162" t="s">
        <v>381</v>
      </c>
      <c r="AA129" s="1162">
        <f>IF(1*ISERROR(VLOOKUP(Z129,C46:Y55,23,FALSE))=1,0,VLOOKUP(Z129,C46:Y55,23,FALSE))</f>
        <v>5</v>
      </c>
      <c r="AB129" s="1162">
        <f>IF(1*ISERROR(VLOOKUP(Z129,E46:Y55,21,FALSE))=1,0,VLOOKUP(Z129,E46:Y55,21,FALSE))</f>
        <v>5</v>
      </c>
      <c r="AC129" s="1162">
        <f>IF(1*ISERROR(VLOOKUP(Z129,G46:Y55,19,FALSE))=1,0,VLOOKUP(Z129,G46:Y55,19,FALSE))</f>
        <v>5</v>
      </c>
      <c r="AD129" s="1162">
        <f>IF(1*ISERROR(VLOOKUP(Z129,I46:Y55,17,FALSE))=1,0,VLOOKUP(Z129,I46:Y55,17,FALSE))</f>
        <v>5</v>
      </c>
      <c r="AE129" s="1162">
        <f>IF(1*ISERROR(VLOOKUP(Z129,K46:Y55,15,FALSE))=1,0,VLOOKUP(Z129,K46:Y55,15,FALSE))</f>
        <v>5</v>
      </c>
      <c r="AF129" s="1162">
        <f>IF(1*ISERROR(VLOOKUP(Z129,M46:Y55,13,FALSE))=1,0,VLOOKUP(Z129,M46:Y55,13,FALSE))</f>
        <v>5</v>
      </c>
      <c r="AG129" s="1162">
        <f>IF(1*ISERROR(VLOOKUP(Z129,O46:Y55,11,FALSE))=1,0,VLOOKUP(Z129,O46:Y55,11,FALSE))</f>
        <v>5</v>
      </c>
      <c r="AH129" s="1162">
        <f>IF(1*ISERROR(VLOOKUP(Z129,Q46:Y55,9,FALSE))=1,0,VLOOKUP(Z129,Q46:Y55,9,FALSE))</f>
        <v>5</v>
      </c>
      <c r="AI129" s="1162">
        <f>IF(1*ISERROR(VLOOKUP(Z129,S46:Y55,7,FALSE))=1,0,VLOOKUP(Z129,S46:Y55,7,FALSE))</f>
        <v>5</v>
      </c>
      <c r="AJ129" s="1162">
        <f>IF(1*ISERROR(VLOOKUP(Z129,U46:Y55,5,FALSE))=1,0,VLOOKUP(Z129,U46:Y55,5,FALSE))</f>
        <v>5</v>
      </c>
      <c r="AK129" s="1162">
        <f t="shared" si="24"/>
        <v>5</v>
      </c>
      <c r="AL129" s="1162">
        <f t="shared" si="8"/>
        <v>55</v>
      </c>
      <c r="AM129" s="1162">
        <f>IF(AL129=0,35,_xlfn.RANK.EQ(AL129,AL98:AL132))</f>
        <v>5</v>
      </c>
      <c r="AN129" s="1162">
        <f>IF(AM129=35,35,AM129+COUNTIF(AM$98:AM128,AM129)/COUNTIF(AM$98:AM$132,AM129))</f>
        <v>5.5</v>
      </c>
      <c r="AO129" s="1162">
        <f t="shared" si="9"/>
        <v>6</v>
      </c>
      <c r="AP129" s="1162" t="s">
        <v>381</v>
      </c>
      <c r="AQ129" s="1162">
        <f>IF(1*ISERROR(VLOOKUP(Z129,C56:Y65,23,FALSE)-10)=1,0,VLOOKUP(Z129,C56:Y65,23,FALSE)-10)</f>
        <v>7</v>
      </c>
      <c r="AR129" s="1162">
        <f>IF(1*ISERROR(VLOOKUP(Z129,E56:Y65,21,FALSE)-10)=1,0,VLOOKUP(Z129,E56:Y65,21,FALSE)-10)</f>
        <v>7</v>
      </c>
      <c r="AS129" s="1162">
        <f>IF(1*ISERROR(VLOOKUP(Z129,G56:Y65,19,FALSE)-10)=1,0,VLOOKUP(Z129,G56:Y65,19,FALSE)-10)</f>
        <v>8</v>
      </c>
      <c r="AT129" s="1162">
        <f>IF(1*ISERROR(VLOOKUP(Z129,I56:Y65,17,FALSE)-10)=1,0,VLOOKUP(Z129,I56:Y65,17,FALSE)-10)</f>
        <v>7</v>
      </c>
      <c r="AU129" s="1162">
        <f>IF(1*ISERROR(VLOOKUP(Z129,K56:Y65,15,FALSE)-10)=1,0,VLOOKUP(Z129,K56:Y65,15,FALSE)-10)</f>
        <v>7</v>
      </c>
      <c r="AV129" s="1162">
        <f>IF(1*ISERROR(VLOOKUP(Z129,M56:Y65,13,FALSE)-10)=1,0,VLOOKUP(Z129,M56:Y65,13,FALSE)-10)</f>
        <v>7</v>
      </c>
      <c r="AW129" s="1162">
        <f>IF(1*ISERROR(VLOOKUP(Z129,O56:Y65,11,FALSE)-10)=1,0,VLOOKUP(Z129,O56:Y65,11,FALSE)-10)</f>
        <v>7</v>
      </c>
      <c r="AX129" s="1162">
        <f>IF(1*ISERROR(VLOOKUP(Z129,Q56:Y65,9,FALSE)-10)=1,0,VLOOKUP(Z129,Q56:Y65,9,FALSE)-10)</f>
        <v>7</v>
      </c>
      <c r="AY129" s="1162">
        <f>IF(1*ISERROR(VLOOKUP(Z129,S56:Y65,7,FALSE)-10)=1,0,VLOOKUP(Z129,S56:Y65,7,FALSE)-10)</f>
        <v>7</v>
      </c>
      <c r="AZ129" s="1163">
        <f>IF(1*ISERROR(VLOOKUP(Z129,U56:Y65,5,FALSE)-10)=1,0,VLOOKUP(Z129,U56:Y65,5,FALSE)-10)</f>
        <v>6</v>
      </c>
      <c r="BA129" s="1162">
        <f t="shared" si="10"/>
        <v>70</v>
      </c>
      <c r="BB129" s="1162">
        <f>IF(BA129=0,35,_xlfn.RANK.EQ(BA129,BA98:BA132))</f>
        <v>2</v>
      </c>
      <c r="BC129" s="1162">
        <f>IF(BB129=35,35,BB129+COUNTIF(BB$98:BB128,BB129)/COUNTIF(BB$98:BB$132,BB129))</f>
        <v>2.5</v>
      </c>
      <c r="BD129" s="1162">
        <f t="shared" si="11"/>
        <v>3</v>
      </c>
      <c r="BE129" s="1162" t="s">
        <v>381</v>
      </c>
      <c r="BF129" s="1162">
        <f>IF(1*ISERROR(VLOOKUP(Z129,C66:Y75,23,FALSE)-20)=1,0,VLOOKUP(Z129,C66:Y75,23,FALSE)-20)</f>
        <v>4</v>
      </c>
      <c r="BG129" s="1162">
        <f>IF(1*ISERROR(VLOOKUP(Z129,E66:Y75,21,FALSE)-20)=1,0,VLOOKUP(Z129,E66:Y75,21,FALSE)-20)</f>
        <v>4</v>
      </c>
      <c r="BH129" s="1162">
        <f>IF(1*ISERROR(VLOOKUP(Z129,G66:Y75,19,FALSE)-20)=1,0,VLOOKUP(Z129,G66:Y75,19,FALSE)-20)</f>
        <v>3</v>
      </c>
      <c r="BI129" s="1162">
        <f>IF(1*ISERROR(VLOOKUP(Z129,I66:Y75,17,FALSE)-20)=1,0,VLOOKUP(Z129,I66:Y75,17,FALSE)-20)</f>
        <v>3</v>
      </c>
      <c r="BJ129" s="1162">
        <f>IF(1*ISERROR(VLOOKUP(Z129,K66:Y75,15,FALSE)-20)=1,0,VLOOKUP(Z129,K66:Y75,15,FALSE)-20)</f>
        <v>3</v>
      </c>
      <c r="BK129" s="1162">
        <f>IF(1*ISERROR(VLOOKUP(Z129,M66:Y75,13,FALSE)-20)=1,0,VLOOKUP(Z129,M66:Y75,13,FALSE)-20)</f>
        <v>3</v>
      </c>
      <c r="BL129" s="1162">
        <f>IF(1*ISERROR(VLOOKUP(Z129,O66:Y75,11,FALSE)-20)=1,0,VLOOKUP(Z129,O66:Y75,11,FALSE)-20)</f>
        <v>5</v>
      </c>
      <c r="BM129" s="1162">
        <f>IF(1*ISERROR(VLOOKUP(Z129,Q66:Y75,9,FALSE)-20)=1,0,VLOOKUP(Z129,Q66:Y75,9,FALSE)-20)</f>
        <v>6</v>
      </c>
      <c r="BN129" s="1162">
        <f>IF(1*ISERROR(VLOOKUP(Z129,S66:Y75,7,FALSE)-20)=1,0,VLOOKUP(Z129,S66:Y75,7,FALSE)-20)</f>
        <v>6</v>
      </c>
      <c r="BO129" s="1162">
        <f>IF(1*ISERROR(VLOOKUP(Z129,U66:Y75,5,FALSE)-20)=1,0,VLOOKUP(Z129,U66:Y75,5,FALSE)-20)</f>
        <v>6</v>
      </c>
      <c r="BP129" s="1162">
        <f>IF(1*ISERROR(VLOOKUP(Z129,U66:Z75,5,FALSE)-20)=1,0,VLOOKUP(Z129,U66:Z75,5,FALSE)-20)</f>
        <v>6</v>
      </c>
      <c r="BQ129" s="1162">
        <f t="shared" si="12"/>
        <v>49</v>
      </c>
      <c r="BR129" s="1162">
        <f>IF(BQ129=0,35,_xlfn.RANK.EQ(BQ129,BQ98:BQ132))</f>
        <v>7</v>
      </c>
      <c r="BS129" s="1162">
        <f>IF(BR129=35,35,BR129+COUNTIF(BR$98:BR128,BR129)/COUNTIF(BR$98:BR$132,BR129))</f>
        <v>7</v>
      </c>
      <c r="BT129" s="1162">
        <f t="shared" si="13"/>
        <v>7</v>
      </c>
      <c r="BU129" s="1162" t="s">
        <v>381</v>
      </c>
      <c r="BV129" s="1162">
        <f>IF(1*ISERROR(VLOOKUP(Z129,C76:Y85,23,FALSE)-30)=1,0,VLOOKUP(Z129,C76:Y85,23,FALSE)-30)</f>
        <v>0</v>
      </c>
      <c r="BW129" s="1162">
        <f>IF(1*ISERROR(VLOOKUP(Z129,E76:Y85,21,FALSE)-30)=1,0,VLOOKUP(Z129,E76:Y85,21,FALSE)-30)</f>
        <v>0</v>
      </c>
      <c r="BX129" s="1162">
        <f>IF(1*ISERROR(VLOOKUP(Z129,G76:Y85,19,FALSE)-30)=1,0,VLOOKUP(Z129,G76:Y85,19,FALSE)-30)</f>
        <v>0</v>
      </c>
      <c r="BY129" s="1162">
        <f>IF(1*ISERROR(VLOOKUP(Z129,I76:Y85,17,FALSE)-30)=1,0,VLOOKUP(Z129,I76:Y85,17,FALSE)-30)</f>
        <v>0</v>
      </c>
      <c r="BZ129" s="1162">
        <f>IF(1*ISERROR(VLOOKUP(Z129,K76:Y85,15,FALSE)-30)=1,0,VLOOKUP(Z129,K76:Y85,15,FALSE)-30)</f>
        <v>0</v>
      </c>
      <c r="CA129" s="1162">
        <f>IF(1*ISERROR(VLOOKUP(Z129,M76:Y85,13,FALSE)-30)=1,0,VLOOKUP(Z129,M76:Y85,13,FALSE)-30)</f>
        <v>0</v>
      </c>
      <c r="CB129" s="1162">
        <f>IF(1*ISERROR(VLOOKUP(Z129,O76:Y85,11,FALSE)-30)=1,0,VLOOKUP(Z129,O76:Y85,11,FALSE)-30)</f>
        <v>0</v>
      </c>
      <c r="CC129" s="1162">
        <f>IF(1*ISERROR(VLOOKUP(Z129,Q76:Y85,9,FALSE)-30)=1,0,VLOOKUP(Z129,Q76:Y85,9,FALSE)-30)</f>
        <v>8</v>
      </c>
      <c r="CD129" s="1162">
        <f>IF(1*ISERROR(VLOOKUP(Z129,S76:Y85,7,FALSE)-30)=1,0,VLOOKUP(Z129,S76:Y85,7,FALSE)-30)</f>
        <v>10</v>
      </c>
      <c r="CE129" s="1162">
        <f>IF(1*ISERROR(VLOOKUP(Z129,U76:Y85,5,FALSE)-30)=1,0,VLOOKUP(Z129,U76:Y85,5,FALSE)-30)</f>
        <v>0</v>
      </c>
      <c r="CF129" s="1163">
        <v>9</v>
      </c>
      <c r="CG129" s="1162">
        <f t="shared" si="14"/>
        <v>18</v>
      </c>
      <c r="CH129" s="1162">
        <f t="shared" si="15"/>
        <v>11</v>
      </c>
      <c r="CI129" s="1162">
        <f>IF(CH129=35,35,CH129+COUNTIF(CH$98:CH128,CH129)/COUNTIF(CH$98:CH$132,CH129))</f>
        <v>11.5</v>
      </c>
      <c r="CJ129" s="1162">
        <f t="shared" si="16"/>
        <v>12</v>
      </c>
      <c r="CK129" s="1162" t="s">
        <v>381</v>
      </c>
      <c r="CL129" s="1162">
        <f>IF(1*ISERROR(VLOOKUP(Z129,C86:Y95,23,FALSE)-40)=1,0,VLOOKUP(Z129,C86:Y95,23,FALSE)-40)</f>
        <v>0</v>
      </c>
      <c r="CM129" s="1162">
        <f>IF(1*ISERROR(VLOOKUP(Z129,E86:Y95,21,FALSE)-40)=1,0,VLOOKUP(Z129,E86:Y95,21,FALSE)-40)</f>
        <v>0</v>
      </c>
      <c r="CN129" s="1162">
        <f>IF(1*ISERROR(VLOOKUP(Z129,G86:Y95,19,FALSE)-40)=1,0,VLOOKUP(Z129,G86:Y95,19,FALSE)-40)</f>
        <v>9</v>
      </c>
      <c r="CO129" s="1162">
        <f>IF(1*ISERROR(VLOOKUP(Z129,I86:Y95,17,FALSE)-40)=1,0,VLOOKUP(Z129,I86:Y95,17,FALSE)-40)</f>
        <v>9</v>
      </c>
      <c r="CP129" s="1162">
        <f>IF(1*ISERROR(VLOOKUP(Z129,K86:Y95,15,FALSE)-40)=1,0,VLOOKUP(Z129,K86:Y95,15,FALSE)-40)</f>
        <v>7</v>
      </c>
      <c r="CQ129" s="1162">
        <f>IF(1*ISERROR(VLOOKUP(Z129,M86:Y95,13,FALSE)-40)=1,0,VLOOKUP(Z129,M86:Y95,13,FALSE)-40)</f>
        <v>7</v>
      </c>
      <c r="CR129" s="1162">
        <f>IF(1*ISERROR(VLOOKUP(Z129,O86:Y95,11,FALSE)-40)=1,0,VLOOKUP(Z129,O86:Y95,11,FALSE)-40)</f>
        <v>7</v>
      </c>
      <c r="CS129" s="1162">
        <f>IF(1*ISERROR(VLOOKUP(Z129,Q86:Y95,9,FALSE)-40)=1,0,VLOOKUP(Z129,Q86:Y95,9,FALSE)-40)</f>
        <v>7</v>
      </c>
      <c r="CT129" s="1162">
        <f>IF(1*ISERROR(VLOOKUP(Z129,S86:Y95,7,FALSE)-40)=1,0,VLOOKUP(Z129,S86:Y95,7,FALSE)-40)</f>
        <v>6</v>
      </c>
      <c r="CU129" s="1162">
        <f>IF(1*ISERROR(VLOOKUP(Z129,U86:Y95,5,FALSE)-40)=1,0,VLOOKUP(Z129,U86:Y95,5,FALSE)-40)</f>
        <v>6</v>
      </c>
      <c r="CV129" s="1162">
        <v>6</v>
      </c>
      <c r="CW129" s="1162">
        <f t="shared" si="17"/>
        <v>64</v>
      </c>
      <c r="CX129" s="1162">
        <f>IF(CW129=0,35,_xlfn.RANK.EQ(CW129,CW98:CW132))</f>
        <v>4</v>
      </c>
      <c r="CY129" s="1162">
        <f>IF(CX129=35,35,CX129+COUNTIF(CX$98:CX128,CX129)/COUNTIF(CX$98:CX$132,CX129))</f>
        <v>4</v>
      </c>
      <c r="CZ129" s="1162">
        <f t="shared" si="18"/>
        <v>4</v>
      </c>
      <c r="DA129" s="1162" t="s">
        <v>381</v>
      </c>
      <c r="DB129" s="834"/>
      <c r="DC129" s="834"/>
      <c r="DD129" s="839"/>
      <c r="DE129" s="1098"/>
      <c r="DF129" s="1098"/>
      <c r="DG129" s="1098"/>
      <c r="DH129" s="1098"/>
      <c r="DI129" s="1098"/>
      <c r="DJ129" s="1098"/>
      <c r="DK129" s="1098"/>
      <c r="DL129" s="1098"/>
      <c r="DM129" s="1098"/>
      <c r="DN129" s="1098"/>
      <c r="DO129" s="1098"/>
    </row>
    <row r="130" spans="25:119" s="1086" customFormat="1">
      <c r="Y130" s="1113">
        <f t="shared" si="23"/>
        <v>33</v>
      </c>
      <c r="Z130" s="1162" t="s">
        <v>389</v>
      </c>
      <c r="AA130" s="1162">
        <f>IF(1*ISERROR(VLOOKUP(Z130,C46:Y55,23,FALSE))=1,0,VLOOKUP(Z130,C46:Y55,23,FALSE))</f>
        <v>0</v>
      </c>
      <c r="AB130" s="1162">
        <f>IF(1*ISERROR(VLOOKUP(Z130,E46:Y55,21,FALSE))=1,0,VLOOKUP(Z130,E46:Y55,21,FALSE))</f>
        <v>0</v>
      </c>
      <c r="AC130" s="1162">
        <f>IF(1*ISERROR(VLOOKUP(Z130,G46:Y55,19,FALSE))=1,0,VLOOKUP(Z130,G46:Y55,19,FALSE))</f>
        <v>0</v>
      </c>
      <c r="AD130" s="1162">
        <f>IF(1*ISERROR(VLOOKUP(Z130,I46:Y55,17,FALSE))=1,0,VLOOKUP(Z130,I46:Y55,17,FALSE))</f>
        <v>0</v>
      </c>
      <c r="AE130" s="1162">
        <f>IF(1*ISERROR(VLOOKUP(Z130,K46:Y55,15,FALSE))=1,0,VLOOKUP(Z130,K46:Y55,15,FALSE))</f>
        <v>0</v>
      </c>
      <c r="AF130" s="1162">
        <f>IF(1*ISERROR(VLOOKUP(Z130,M46:Y55,13,FALSE))=1,0,VLOOKUP(Z130,M46:Y55,13,FALSE))</f>
        <v>0</v>
      </c>
      <c r="AG130" s="1162">
        <f>IF(1*ISERROR(VLOOKUP(Z130,O46:Y55,11,FALSE))=1,0,VLOOKUP(Z130,O46:Y55,11,FALSE))</f>
        <v>0</v>
      </c>
      <c r="AH130" s="1162">
        <f>IF(1*ISERROR(VLOOKUP(Z130,Q46:Y55,9,FALSE))=1,0,VLOOKUP(Z130,Q46:Y55,9,FALSE))</f>
        <v>0</v>
      </c>
      <c r="AI130" s="1162">
        <f>IF(1*ISERROR(VLOOKUP(Z130,S46:Y55,7,FALSE))=1,0,VLOOKUP(Z130,S46:Y55,7,FALSE))</f>
        <v>0</v>
      </c>
      <c r="AJ130" s="1162">
        <f>IF(1*ISERROR(VLOOKUP(Z130,U46:Y55,5,FALSE))=1,0,VLOOKUP(Z130,U46:Y55,5,FALSE))</f>
        <v>0</v>
      </c>
      <c r="AK130" s="1162">
        <f t="shared" si="24"/>
        <v>13</v>
      </c>
      <c r="AL130" s="1162">
        <f t="shared" si="8"/>
        <v>13</v>
      </c>
      <c r="AM130" s="1162">
        <f>IF(AL130=0,35,_xlfn.RANK.EQ(AL130,AL98:AL132))</f>
        <v>12</v>
      </c>
      <c r="AN130" s="1162">
        <f>IF(AM130=35,35,AM130+COUNTIF(AM$98:AM129,AM130)/COUNTIF(AM$98:AM$132,AM130))</f>
        <v>12</v>
      </c>
      <c r="AO130" s="1162">
        <f t="shared" si="9"/>
        <v>12</v>
      </c>
      <c r="AP130" s="1162" t="s">
        <v>389</v>
      </c>
      <c r="AQ130" s="1162">
        <f>IF(1*ISERROR(VLOOKUP(Z130,C56:Y65,23,FALSE)-10)=1,0,VLOOKUP(Z130,C56:Y65,23,FALSE)-10)</f>
        <v>8</v>
      </c>
      <c r="AR130" s="1162">
        <f>IF(1*ISERROR(VLOOKUP(Z130,E56:Y65,21,FALSE)-10)=1,0,VLOOKUP(Z130,E56:Y65,21,FALSE)-10)</f>
        <v>8</v>
      </c>
      <c r="AS130" s="1162">
        <f>IF(1*ISERROR(VLOOKUP(Z130,G56:Y65,19,FALSE)-10)=1,0,VLOOKUP(Z130,G56:Y65,19,FALSE)-10)</f>
        <v>4</v>
      </c>
      <c r="AT130" s="1162">
        <f>IF(1*ISERROR(VLOOKUP(Z130,I56:Y65,17,FALSE)-10)=1,0,VLOOKUP(Z130,I56:Y65,17,FALSE)-10)</f>
        <v>0</v>
      </c>
      <c r="AU130" s="1162">
        <f>IF(1*ISERROR(VLOOKUP(Z130,K56:Y65,15,FALSE)-10)=1,0,VLOOKUP(Z130,K56:Y65,15,FALSE)-10)</f>
        <v>2</v>
      </c>
      <c r="AV130" s="1162">
        <f>IF(1*ISERROR(VLOOKUP(Z130,M56:Y65,13,FALSE)-10)=1,0,VLOOKUP(Z130,M56:Y65,13,FALSE)-10)</f>
        <v>2</v>
      </c>
      <c r="AW130" s="1162">
        <f>IF(1*ISERROR(VLOOKUP(Z130,O56:Y65,11,FALSE)-10)=1,0,VLOOKUP(Z130,O56:Y65,11,FALSE)-10)</f>
        <v>2</v>
      </c>
      <c r="AX130" s="1162">
        <f>IF(1*ISERROR(VLOOKUP(Z130,Q56:Y65,9,FALSE)-10)=1,0,VLOOKUP(Z130,Q56:Y65,9,FALSE)-10)</f>
        <v>2</v>
      </c>
      <c r="AY130" s="1162">
        <f>IF(1*ISERROR(VLOOKUP(Z130,S56:Y65,7,FALSE)-10)=1,0,VLOOKUP(Z130,S56:Y65,7,FALSE)-10)</f>
        <v>2</v>
      </c>
      <c r="AZ130" s="1163">
        <f>IF(1*ISERROR(VLOOKUP(Z130,U56:Y65,5,FALSE)-10)=1,0,VLOOKUP(Z130,U56:Y65,5,FALSE)-10)</f>
        <v>3</v>
      </c>
      <c r="BA130" s="1162">
        <f t="shared" si="10"/>
        <v>33</v>
      </c>
      <c r="BB130" s="1162">
        <f>IF(BA130=0,35,_xlfn.RANK.EQ(BA130,BA98:BA132))</f>
        <v>8</v>
      </c>
      <c r="BC130" s="1162">
        <f>IF(BB130=35,35,BB130+COUNTIF(BB$98:BB129,BB130)/COUNTIF(BB$98:BB$132,BB130))</f>
        <v>8</v>
      </c>
      <c r="BD130" s="1162">
        <f t="shared" si="11"/>
        <v>8</v>
      </c>
      <c r="BE130" s="1162" t="s">
        <v>389</v>
      </c>
      <c r="BF130" s="1162">
        <f>IF(1*ISERROR(VLOOKUP(Z130,C66:Y75,23,FALSE)-20)=1,0,VLOOKUP(Z130,C66:Y75,23,FALSE)-20)</f>
        <v>0</v>
      </c>
      <c r="BG130" s="1162">
        <f>IF(1*ISERROR(VLOOKUP(Z130,E66:Y75,21,FALSE)-20)=1,0,VLOOKUP(Z130,E66:Y75,21,FALSE)-20)</f>
        <v>0</v>
      </c>
      <c r="BH130" s="1162">
        <f>IF(1*ISERROR(VLOOKUP(Z130,G66:Y75,19,FALSE)-20)=1,0,VLOOKUP(Z130,G66:Y75,19,FALSE)-20)</f>
        <v>0</v>
      </c>
      <c r="BI130" s="1162">
        <f>IF(1*ISERROR(VLOOKUP(Z130,I66:Y75,17,FALSE)-20)=1,0,VLOOKUP(Z130,I66:Y75,17,FALSE)-20)</f>
        <v>0</v>
      </c>
      <c r="BJ130" s="1162">
        <f>IF(1*ISERROR(VLOOKUP(Z130,K66:Y75,15,FALSE)-20)=1,0,VLOOKUP(Z130,K66:Y75,15,FALSE)-20)</f>
        <v>0</v>
      </c>
      <c r="BK130" s="1162">
        <f>IF(1*ISERROR(VLOOKUP(Z130,M66:Y75,13,FALSE)-20)=1,0,VLOOKUP(Z130,M66:Y75,13,FALSE)-20)</f>
        <v>0</v>
      </c>
      <c r="BL130" s="1162">
        <f>IF(1*ISERROR(VLOOKUP(Z130,O66:Y75,11,FALSE)-20)=1,0,VLOOKUP(Z130,O66:Y75,11,FALSE)-20)</f>
        <v>0</v>
      </c>
      <c r="BM130" s="1162">
        <f>IF(1*ISERROR(VLOOKUP(Z130,Q66:Y75,9,FALSE)-20)=1,0,VLOOKUP(Z130,Q66:Y75,9,FALSE)-20)</f>
        <v>0</v>
      </c>
      <c r="BN130" s="1162">
        <f>IF(1*ISERROR(VLOOKUP(Z130,S66:Y75,7,FALSE)-20)=1,0,VLOOKUP(Z130,S66:Y75,7,FALSE)-20)</f>
        <v>0</v>
      </c>
      <c r="BO130" s="1162">
        <f>IF(1*ISERROR(VLOOKUP(Z130,U66:Y75,5,FALSE)-20)=1,0,VLOOKUP(Z130,U66:Y75,5,FALSE)-20)</f>
        <v>0</v>
      </c>
      <c r="BP130" s="1162">
        <f t="shared" si="20"/>
        <v>0</v>
      </c>
      <c r="BQ130" s="1162">
        <f t="shared" si="12"/>
        <v>0</v>
      </c>
      <c r="BR130" s="1162">
        <f>IF(BQ130=0,35,_xlfn.RANK.EQ(BQ130,BQ98:BQ132))</f>
        <v>35</v>
      </c>
      <c r="BS130" s="1162">
        <f>IF(BR130=35,35,BR130+COUNTIF(BR$98:BR129,BR130)/COUNTIF(BR$98:BR$132,BR130))</f>
        <v>35</v>
      </c>
      <c r="BT130" s="1162">
        <f t="shared" si="13"/>
        <v>13</v>
      </c>
      <c r="BU130" s="1162" t="s">
        <v>389</v>
      </c>
      <c r="BV130" s="1162">
        <f>IF(1*ISERROR(VLOOKUP(Z130,C76:Y85,23,FALSE)-30)=1,0,VLOOKUP(Z130,C76:Y85,23,FALSE)-30)</f>
        <v>0</v>
      </c>
      <c r="BW130" s="1162">
        <f>IF(1*ISERROR(VLOOKUP(Z130,E76:Y85,21,FALSE)-30)=1,0,VLOOKUP(Z130,E76:Y85,21,FALSE)-30)</f>
        <v>0</v>
      </c>
      <c r="BX130" s="1162">
        <f>IF(1*ISERROR(VLOOKUP(Z130,G76:Y85,19,FALSE)-30)=1,0,VLOOKUP(Z130,G76:Y85,19,FALSE)-30)</f>
        <v>0</v>
      </c>
      <c r="BY130" s="1162">
        <f>IF(1*ISERROR(VLOOKUP(Z130,I76:Y85,17,FALSE)-30)=1,0,VLOOKUP(Z130,I76:Y85,17,FALSE)-30)</f>
        <v>0</v>
      </c>
      <c r="BZ130" s="1162">
        <f>IF(1*ISERROR(VLOOKUP(Z130,K76:Y85,15,FALSE)-30)=1,0,VLOOKUP(Z130,K76:Y85,15,FALSE)-30)</f>
        <v>0</v>
      </c>
      <c r="CA130" s="1162">
        <f>IF(1*ISERROR(VLOOKUP(Z130,M76:Y85,13,FALSE)-30)=1,0,VLOOKUP(Z130,M76:Y85,13,FALSE)-30)</f>
        <v>0</v>
      </c>
      <c r="CB130" s="1162">
        <f>IF(1*ISERROR(VLOOKUP(Z130,O76:Y85,11,FALSE)-30)=1,0,VLOOKUP(Z130,O76:Y85,11,FALSE)-30)</f>
        <v>0</v>
      </c>
      <c r="CC130" s="1162">
        <f>IF(1*ISERROR(VLOOKUP(Z130,Q76:Y85,9,FALSE)-30)=1,0,VLOOKUP(Z130,Q76:Y85,9,FALSE)-30)</f>
        <v>0</v>
      </c>
      <c r="CD130" s="1162">
        <f>IF(1*ISERROR(VLOOKUP(Z130,S76:Y85,7,FALSE)-30)=1,0,VLOOKUP(Z130,S76:Y85,7,FALSE)-30)</f>
        <v>0</v>
      </c>
      <c r="CE130" s="1162">
        <f>IF(1*ISERROR(VLOOKUP(Z130,U76:Y85,5,FALSE)-30)=1,0,VLOOKUP(Z130,U76:Y85,5,FALSE)-30)</f>
        <v>0</v>
      </c>
      <c r="CF130" s="1163">
        <f t="shared" si="21"/>
        <v>0</v>
      </c>
      <c r="CG130" s="1162">
        <f t="shared" si="14"/>
        <v>0</v>
      </c>
      <c r="CH130" s="1162">
        <f t="shared" si="15"/>
        <v>35</v>
      </c>
      <c r="CI130" s="1162">
        <f>IF(CH130=35,35,CH130+COUNTIF(CH$98:CH129,CH130)/COUNTIF(CH$98:CH$132,CH130))</f>
        <v>35</v>
      </c>
      <c r="CJ130" s="1162">
        <f t="shared" si="16"/>
        <v>20</v>
      </c>
      <c r="CK130" s="1162" t="s">
        <v>389</v>
      </c>
      <c r="CL130" s="1162">
        <f>IF(1*ISERROR(VLOOKUP(Z130,C86:Y95,23,FALSE)-40)=1,0,VLOOKUP(Z130,C86:Y95,23,FALSE)-40)</f>
        <v>0</v>
      </c>
      <c r="CM130" s="1162">
        <f>IF(1*ISERROR(VLOOKUP(Z130,E86:Y95,21,FALSE)-40)=1,0,VLOOKUP(Z130,E86:Y95,21,FALSE)-40)</f>
        <v>0</v>
      </c>
      <c r="CN130" s="1162">
        <f>IF(1*ISERROR(VLOOKUP(Z130,G86:Y95,19,FALSE)-40)=1,0,VLOOKUP(Z130,G86:Y95,19,FALSE)-40)</f>
        <v>0</v>
      </c>
      <c r="CO130" s="1162">
        <f>IF(1*ISERROR(VLOOKUP(Z130,I86:Y95,17,FALSE)-40)=1,0,VLOOKUP(Z130,I86:Y95,17,FALSE)-40)</f>
        <v>0</v>
      </c>
      <c r="CP130" s="1162">
        <f>IF(1*ISERROR(VLOOKUP(Z130,K86:Y95,15,FALSE)-40)=1,0,VLOOKUP(Z130,K86:Y95,15,FALSE)-40)</f>
        <v>0</v>
      </c>
      <c r="CQ130" s="1162">
        <f>IF(1*ISERROR(VLOOKUP(Z130,M86:Y95,13,FALSE)-40)=1,0,VLOOKUP(Z130,M86:Y95,13,FALSE)-40)</f>
        <v>0</v>
      </c>
      <c r="CR130" s="1162">
        <f>IF(1*ISERROR(VLOOKUP(Z130,O86:Y95,11,FALSE)-40)=1,0,VLOOKUP(Z130,O86:Y95,11,FALSE)-40)</f>
        <v>0</v>
      </c>
      <c r="CS130" s="1162">
        <f>IF(1*ISERROR(VLOOKUP(Z130,Q86:Y95,9,FALSE)-40)=1,0,VLOOKUP(Z130,Q86:Y95,9,FALSE)-40)</f>
        <v>0</v>
      </c>
      <c r="CT130" s="1162">
        <f>IF(1*ISERROR(VLOOKUP(Z130,S86:Y95,7,FALSE)-40)=1,0,VLOOKUP(Z130,S86:Y95,7,FALSE)-40)</f>
        <v>0</v>
      </c>
      <c r="CU130" s="1162">
        <f>IF(1*ISERROR(VLOOKUP(Z130,U86:Y95,5,FALSE)-40)=1,0,VLOOKUP(Z130,U86:Y95,5,FALSE)-40)</f>
        <v>0</v>
      </c>
      <c r="CV130" s="1162">
        <v>0</v>
      </c>
      <c r="CW130" s="1162">
        <f t="shared" si="17"/>
        <v>0</v>
      </c>
      <c r="CX130" s="1162">
        <f>IF(CW130=0,35,_xlfn.RANK.EQ(CW130,CW98:CW132))</f>
        <v>35</v>
      </c>
      <c r="CY130" s="1162">
        <f>IF(CX130=35,35,CX130+COUNTIF(CX$98:CX129,CX130)/COUNTIF(CX$98:CX$132,CX130))</f>
        <v>35</v>
      </c>
      <c r="CZ130" s="1162">
        <f t="shared" si="18"/>
        <v>13</v>
      </c>
      <c r="DA130" s="1162" t="s">
        <v>389</v>
      </c>
      <c r="DB130" s="834"/>
      <c r="DC130" s="834"/>
      <c r="DD130" s="839"/>
      <c r="DE130" s="1098"/>
      <c r="DF130" s="1098"/>
      <c r="DG130" s="1098"/>
      <c r="DH130" s="1098"/>
      <c r="DI130" s="1098"/>
      <c r="DJ130" s="1098"/>
      <c r="DK130" s="1098"/>
      <c r="DL130" s="1098"/>
      <c r="DM130" s="1098"/>
      <c r="DN130" s="1098"/>
      <c r="DO130" s="1098"/>
    </row>
    <row r="131" spans="25:119" s="1086" customFormat="1">
      <c r="Y131" s="1113">
        <f t="shared" si="23"/>
        <v>34</v>
      </c>
      <c r="Z131" s="1162" t="s">
        <v>398</v>
      </c>
      <c r="AA131" s="1162">
        <f>IF(1*ISERROR(VLOOKUP(Z131,C46:Y55,23,FALSE))=1,0,VLOOKUP(Z131,C46:Y55,23,FALSE))</f>
        <v>0</v>
      </c>
      <c r="AB131" s="1162">
        <f>IF(1*ISERROR(VLOOKUP(Z131,E46:Y55,21,FALSE))=1,0,VLOOKUP(Z131,E46:Y55,21,FALSE))</f>
        <v>0</v>
      </c>
      <c r="AC131" s="1162">
        <f>IF(1*ISERROR(VLOOKUP(Z131,G46:Y55,19,FALSE))=1,0,VLOOKUP(Z131,G46:Y55,19,FALSE))</f>
        <v>0</v>
      </c>
      <c r="AD131" s="1162">
        <f>IF(1*ISERROR(VLOOKUP(Z131,I46:Y55,17,FALSE))=1,0,VLOOKUP(Z131,I46:Y55,17,FALSE))</f>
        <v>0</v>
      </c>
      <c r="AE131" s="1162">
        <f>IF(1*ISERROR(VLOOKUP(Z131,K46:Y55,15,FALSE))=1,0,VLOOKUP(Z131,K46:Y55,15,FALSE))</f>
        <v>0</v>
      </c>
      <c r="AF131" s="1162">
        <f>IF(1*ISERROR(VLOOKUP(Z131,M46:Y55,13,FALSE))=1,0,VLOOKUP(Z131,M46:Y55,13,FALSE))</f>
        <v>0</v>
      </c>
      <c r="AG131" s="1162">
        <f>IF(1*ISERROR(VLOOKUP(Z131,O46:Y55,11,FALSE))=1,0,VLOOKUP(Z131,O46:Y55,11,FALSE))</f>
        <v>0</v>
      </c>
      <c r="AH131" s="1162">
        <f>IF(1*ISERROR(VLOOKUP(Z131,Q46:Y55,9,FALSE))=1,0,VLOOKUP(Z131,Q46:Y55,9,FALSE))</f>
        <v>0</v>
      </c>
      <c r="AI131" s="1162">
        <f>IF(1*ISERROR(VLOOKUP(Z131,S46:Y55,7,FALSE))=1,0,VLOOKUP(Z131,S46:Y55,7,FALSE))</f>
        <v>0</v>
      </c>
      <c r="AJ131" s="1162">
        <f>IF(1*ISERROR(VLOOKUP(Z131,U46:Y55,5,FALSE))=1,0,VLOOKUP(Z131,U46:Y55,5,FALSE))</f>
        <v>0</v>
      </c>
      <c r="AK131" s="1162">
        <f t="shared" si="24"/>
        <v>0</v>
      </c>
      <c r="AL131" s="1162">
        <f t="shared" si="8"/>
        <v>0</v>
      </c>
      <c r="AM131" s="1162">
        <f>IF(AL131=0,35,_xlfn.RANK.EQ(AL131,AL98:AL132))</f>
        <v>35</v>
      </c>
      <c r="AN131" s="1162">
        <f>IF(AM131=35,35,AM131+COUNTIF(AM$98:AM130,AM131)/COUNTIF(AM$98:AM$132,AM131))</f>
        <v>35</v>
      </c>
      <c r="AO131" s="1162">
        <f t="shared" si="9"/>
        <v>13</v>
      </c>
      <c r="AP131" s="1162" t="s">
        <v>398</v>
      </c>
      <c r="AQ131" s="1162">
        <f>IF(1*ISERROR(VLOOKUP(Z131,C56:Y65,23,FALSE)-10)=1,0,VLOOKUP(Z131,C56:Y65,23,FALSE)-10)</f>
        <v>0</v>
      </c>
      <c r="AR131" s="1162">
        <f>IF(1*ISERROR(VLOOKUP(Z131,E56:Y65,21,FALSE)-10)=1,0,VLOOKUP(Z131,E56:Y65,21,FALSE)-10)</f>
        <v>0</v>
      </c>
      <c r="AS131" s="1162">
        <f>IF(1*ISERROR(VLOOKUP(Z131,G56:Y65,19,FALSE)-10)=1,0,VLOOKUP(Z131,G56:Y65,19,FALSE)-10)</f>
        <v>0</v>
      </c>
      <c r="AT131" s="1162">
        <f>IF(1*ISERROR(VLOOKUP(Z131,I56:Y65,17,FALSE)-10)=1,0,VLOOKUP(Z131,I56:Y65,17,FALSE)-10)</f>
        <v>0</v>
      </c>
      <c r="AU131" s="1162">
        <f>IF(1*ISERROR(VLOOKUP(Z131,K56:Y65,15,FALSE)-10)=1,0,VLOOKUP(Z131,K56:Y65,15,FALSE)-10)</f>
        <v>0</v>
      </c>
      <c r="AV131" s="1162">
        <f>IF(1*ISERROR(VLOOKUP(Z131,M56:Y65,13,FALSE)-10)=1,0,VLOOKUP(Z131,M56:Y65,13,FALSE)-10)</f>
        <v>0</v>
      </c>
      <c r="AW131" s="1162">
        <f>IF(1*ISERROR(VLOOKUP(Z131,O56:Y65,11,FALSE)-10)=1,0,VLOOKUP(Z131,O56:Y65,11,FALSE)-10)</f>
        <v>0</v>
      </c>
      <c r="AX131" s="1162">
        <f>IF(1*ISERROR(VLOOKUP(Z131,Q56:Y65,9,FALSE)-10)=1,0,VLOOKUP(Z131,Q56:Y65,9,FALSE)-10)</f>
        <v>0</v>
      </c>
      <c r="AY131" s="1162">
        <f>IF(1*ISERROR(VLOOKUP(Z131,S56:Y65,7,FALSE)-10)=1,0,VLOOKUP(Z131,S56:Y65,7,FALSE)-10)</f>
        <v>0</v>
      </c>
      <c r="AZ131" s="1163">
        <f>IF(1*ISERROR(VLOOKUP(Z131,U56:Y65,5,FALSE)-10)=1,0,VLOOKUP(Z131,U56:Y65,5,FALSE)-10)</f>
        <v>0</v>
      </c>
      <c r="BA131" s="1162">
        <f t="shared" si="10"/>
        <v>0</v>
      </c>
      <c r="BB131" s="1162">
        <f>IF(BA131=0,35,_xlfn.RANK.EQ(BA131,BA98:BA132))</f>
        <v>35</v>
      </c>
      <c r="BC131" s="1162">
        <f>IF(BB131=35,35,BB131+COUNTIF(BB$98:BB130,BB131)/COUNTIF(BB$98:BB$132,BB131))</f>
        <v>35</v>
      </c>
      <c r="BD131" s="1162">
        <f t="shared" si="11"/>
        <v>13</v>
      </c>
      <c r="BE131" s="1162" t="s">
        <v>398</v>
      </c>
      <c r="BF131" s="1162">
        <f>IF(1*ISERROR(VLOOKUP(Z131,C66:Y75,23,FALSE)-20)=1,0,VLOOKUP(Z131,C66:Y75,23,FALSE)-20)</f>
        <v>0</v>
      </c>
      <c r="BG131" s="1162">
        <f>IF(1*ISERROR(VLOOKUP(Z131,E66:Y75,21,FALSE)-20)=1,0,VLOOKUP(Z131,E66:Y75,21,FALSE)-20)</f>
        <v>0</v>
      </c>
      <c r="BH131" s="1162">
        <f>IF(1*ISERROR(VLOOKUP(Z131,G66:Y75,19,FALSE)-20)=1,0,VLOOKUP(Z131,G66:Y75,19,FALSE)-20)</f>
        <v>0</v>
      </c>
      <c r="BI131" s="1162">
        <f>IF(1*ISERROR(VLOOKUP(Z131,I66:Y75,17,FALSE)-20)=1,0,VLOOKUP(Z131,I66:Y75,17,FALSE)-20)</f>
        <v>0</v>
      </c>
      <c r="BJ131" s="1162">
        <f>IF(1*ISERROR(VLOOKUP(Z131,K66:Y75,15,FALSE)-20)=1,0,VLOOKUP(Z131,K66:Y75,15,FALSE)-20)</f>
        <v>0</v>
      </c>
      <c r="BK131" s="1162">
        <f>IF(1*ISERROR(VLOOKUP(Z131,M66:Y75,13,FALSE)-20)=1,0,VLOOKUP(Z131,M66:Y75,13,FALSE)-20)</f>
        <v>0</v>
      </c>
      <c r="BL131" s="1162">
        <f>IF(1*ISERROR(VLOOKUP(Z131,O66:Y75,11,FALSE)-20)=1,0,VLOOKUP(Z131,O66:Y75,11,FALSE)-20)</f>
        <v>0</v>
      </c>
      <c r="BM131" s="1162">
        <f>IF(1*ISERROR(VLOOKUP(Z131,Q66:Y75,9,FALSE)-20)=1,0,VLOOKUP(Z131,Q66:Y75,9,FALSE)-20)</f>
        <v>0</v>
      </c>
      <c r="BN131" s="1162">
        <f>IF(1*ISERROR(VLOOKUP(Z131,S66:Y75,7,FALSE)-20)=1,0,VLOOKUP(Z131,S66:Y75,7,FALSE)-20)</f>
        <v>0</v>
      </c>
      <c r="BO131" s="1162">
        <f>IF(1*ISERROR(VLOOKUP(Z131,U66:Y75,5,FALSE)-20)=1,0,VLOOKUP(Z131,U66:Y75,5,FALSE)-20)</f>
        <v>0</v>
      </c>
      <c r="BP131" s="1162">
        <f t="shared" si="20"/>
        <v>0</v>
      </c>
      <c r="BQ131" s="1162">
        <f t="shared" si="12"/>
        <v>0</v>
      </c>
      <c r="BR131" s="1162">
        <f>IF(BQ131=0,35,_xlfn.RANK.EQ(BQ131,BQ98:BQ132))</f>
        <v>35</v>
      </c>
      <c r="BS131" s="1162">
        <f>IF(BR131=35,35,BR131+COUNTIF(BR$98:BR130,BR131)/COUNTIF(BR$98:BR$132,BR131))</f>
        <v>35</v>
      </c>
      <c r="BT131" s="1162">
        <f t="shared" si="13"/>
        <v>13</v>
      </c>
      <c r="BU131" s="1162" t="s">
        <v>398</v>
      </c>
      <c r="BV131" s="1162">
        <f>IF(1*ISERROR(VLOOKUP(Z131,C76:Y85,23,FALSE)-30)=1,0,VLOOKUP(Z131,C76:Y85,23,FALSE)-30)</f>
        <v>0</v>
      </c>
      <c r="BW131" s="1162">
        <f>IF(1*ISERROR(VLOOKUP(Z131,E76:Y85,21,FALSE)-30)=1,0,VLOOKUP(Z131,E76:Y85,21,FALSE)-30)</f>
        <v>0</v>
      </c>
      <c r="BX131" s="1162">
        <f>IF(1*ISERROR(VLOOKUP(Z131,G76:Y85,19,FALSE)-30)=1,0,VLOOKUP(Z131,G76:Y85,19,FALSE)-30)</f>
        <v>0</v>
      </c>
      <c r="BY131" s="1162">
        <f>IF(1*ISERROR(VLOOKUP(Z131,I76:Y85,17,FALSE)-30)=1,0,VLOOKUP(Z131,I76:Y85,17,FALSE)-30)</f>
        <v>0</v>
      </c>
      <c r="BZ131" s="1162">
        <f>IF(1*ISERROR(VLOOKUP(Z131,K76:Y85,15,FALSE)-30)=1,0,VLOOKUP(Z131,K76:Y85,15,FALSE)-30)</f>
        <v>0</v>
      </c>
      <c r="CA131" s="1162">
        <f>IF(1*ISERROR(VLOOKUP(Z131,M76:Y85,13,FALSE)-30)=1,0,VLOOKUP(Z131,M76:Y85,13,FALSE)-30)</f>
        <v>4</v>
      </c>
      <c r="CB131" s="1162">
        <f>IF(1*ISERROR(VLOOKUP(Z131,O76:Y85,11,FALSE)-30)=1,0,VLOOKUP(Z131,O76:Y85,11,FALSE)-30)</f>
        <v>4</v>
      </c>
      <c r="CC131" s="1162">
        <f>IF(1*ISERROR(VLOOKUP(Z131,Q76:Y85,9,FALSE)-30)=1,0,VLOOKUP(Z131,Q76:Y85,9,FALSE)-30)</f>
        <v>0</v>
      </c>
      <c r="CD131" s="1162">
        <f>IF(1*ISERROR(VLOOKUP(Z131,S76:Y85,7,FALSE)-30)=1,0,VLOOKUP(Z131,S76:Y85,7,FALSE)-30)</f>
        <v>0</v>
      </c>
      <c r="CE131" s="1162">
        <f>IF(1*ISERROR(VLOOKUP(Z131,U76:Y85,5,FALSE)-30)=1,0,VLOOKUP(Z131,U76:Y85,5,FALSE)-30)</f>
        <v>0</v>
      </c>
      <c r="CF131" s="1163">
        <f t="shared" si="21"/>
        <v>0</v>
      </c>
      <c r="CG131" s="1162">
        <f t="shared" si="14"/>
        <v>8</v>
      </c>
      <c r="CH131" s="1162">
        <f t="shared" si="15"/>
        <v>15</v>
      </c>
      <c r="CI131" s="1162">
        <f>IF(CH131=35,35,CH131+COUNTIF(CH$98:CH130,CH131)/COUNTIF(CH$98:CH$132,CH131))</f>
        <v>15</v>
      </c>
      <c r="CJ131" s="1162">
        <f t="shared" si="16"/>
        <v>15</v>
      </c>
      <c r="CK131" s="1162" t="s">
        <v>398</v>
      </c>
      <c r="CL131" s="1162">
        <f>IF(1*ISERROR(VLOOKUP(Z131,C86:Y95,23,FALSE)-40)=1,0,VLOOKUP(Z131,C86:Y95,23,FALSE)-40)</f>
        <v>0</v>
      </c>
      <c r="CM131" s="1162">
        <f>IF(1*ISERROR(VLOOKUP(Z131,E86:Y95,21,FALSE)-40)=1,0,VLOOKUP(Z131,E86:Y95,21,FALSE)-40)</f>
        <v>0</v>
      </c>
      <c r="CN131" s="1162">
        <f>IF(1*ISERROR(VLOOKUP(Z131,G86:Y95,19,FALSE)-40)=1,0,VLOOKUP(Z131,G86:Y95,19,FALSE)-40)</f>
        <v>0</v>
      </c>
      <c r="CO131" s="1162">
        <f>IF(1*ISERROR(VLOOKUP(Z131,I86:Y95,17,FALSE)-40)=1,0,VLOOKUP(Z131,I86:Y95,17,FALSE)-40)</f>
        <v>0</v>
      </c>
      <c r="CP131" s="1162">
        <f>IF(1*ISERROR(VLOOKUP(Z131,K86:Y95,15,FALSE)-40)=1,0,VLOOKUP(Z131,K86:Y95,15,FALSE)-40)</f>
        <v>0</v>
      </c>
      <c r="CQ131" s="1162">
        <f>IF(1*ISERROR(VLOOKUP(Z131,M86:Y95,13,FALSE)-40)=1,0,VLOOKUP(Z131,M86:Y95,13,FALSE)-40)</f>
        <v>0</v>
      </c>
      <c r="CR131" s="1162">
        <f>IF(1*ISERROR(VLOOKUP(Z131,O86:Y95,11,FALSE)-40)=1,0,VLOOKUP(Z131,O86:Y95,11,FALSE)-40)</f>
        <v>0</v>
      </c>
      <c r="CS131" s="1162">
        <f>IF(1*ISERROR(VLOOKUP(Z131,Q86:Y95,9,FALSE)-40)=1,0,VLOOKUP(Z131,Q86:Y95,9,FALSE)-40)</f>
        <v>0</v>
      </c>
      <c r="CT131" s="1162">
        <f>IF(1*ISERROR(VLOOKUP(Z131,S86:Y95,7,FALSE)-40)=1,0,VLOOKUP(Z131,S86:Y95,7,FALSE)-40)</f>
        <v>0</v>
      </c>
      <c r="CU131" s="1162">
        <f>IF(1*ISERROR(VLOOKUP(Z131,U86:Y95,5,FALSE)-40)=1,0,VLOOKUP(Z131,U86:Y95,5,FALSE)-40)</f>
        <v>0</v>
      </c>
      <c r="CV131" s="1162">
        <v>0</v>
      </c>
      <c r="CW131" s="1162">
        <f t="shared" si="17"/>
        <v>0</v>
      </c>
      <c r="CX131" s="1162">
        <f>IF(CW131=0,35,_xlfn.RANK.EQ(CW131,CW98:CW132))</f>
        <v>35</v>
      </c>
      <c r="CY131" s="1162">
        <f>IF(CX131=35,35,CX131+COUNTIF(CX$98:CX130,CX131)/COUNTIF(CX$98:CX$132,CX131))</f>
        <v>35</v>
      </c>
      <c r="CZ131" s="1162">
        <f t="shared" si="18"/>
        <v>13</v>
      </c>
      <c r="DA131" s="1162" t="s">
        <v>398</v>
      </c>
      <c r="DB131" s="834"/>
      <c r="DC131" s="834"/>
      <c r="DD131" s="839"/>
      <c r="DE131" s="1098"/>
      <c r="DF131" s="1098"/>
      <c r="DG131" s="1098"/>
      <c r="DH131" s="1098"/>
      <c r="DI131" s="1098"/>
      <c r="DJ131" s="1098"/>
      <c r="DK131" s="1098"/>
      <c r="DL131" s="1098"/>
      <c r="DM131" s="1098"/>
      <c r="DN131" s="1098"/>
      <c r="DO131" s="1098"/>
    </row>
    <row r="132" spans="25:119" s="1086" customFormat="1">
      <c r="Y132" s="1113">
        <f t="shared" si="23"/>
        <v>35</v>
      </c>
      <c r="Z132" s="1162" t="s">
        <v>395</v>
      </c>
      <c r="AA132" s="1162">
        <f>IF(1*ISERROR(VLOOKUP(Z132,C46:Y55,23,FALSE))=1,0,VLOOKUP(Z132,C46:Y55,23,FALSE))</f>
        <v>0</v>
      </c>
      <c r="AB132" s="1162">
        <f>IF(1*ISERROR(VLOOKUP(Z132,E46:Y55,21,FALSE))=1,0,VLOOKUP(Z132,E46:Y55,21,FALSE))</f>
        <v>0</v>
      </c>
      <c r="AC132" s="1162">
        <f>IF(1*ISERROR(VLOOKUP(Z132,G46:Y55,19,FALSE))=1,0,VLOOKUP(Z132,G46:Y55,19,FALSE))</f>
        <v>0</v>
      </c>
      <c r="AD132" s="1162">
        <f>IF(1*ISERROR(VLOOKUP(Z132,I46:Y55,17,FALSE))=1,0,VLOOKUP(Z132,I46:Y55,17,FALSE))</f>
        <v>0</v>
      </c>
      <c r="AE132" s="1162">
        <f>IF(1*ISERROR(VLOOKUP(Z132,K46:Y55,15,FALSE))=1,0,VLOOKUP(Z132,K46:Y55,15,FALSE))</f>
        <v>0</v>
      </c>
      <c r="AF132" s="1162">
        <f>IF(1*ISERROR(VLOOKUP(Z132,M46:Y55,13,FALSE))=1,0,VLOOKUP(Z132,M46:Y55,13,FALSE))</f>
        <v>0</v>
      </c>
      <c r="AG132" s="1162">
        <f>IF(1*ISERROR(VLOOKUP(Z132,O46:Y55,11,FALSE))=1,0,VLOOKUP(Z132,O46:Y55,11,FALSE))</f>
        <v>0</v>
      </c>
      <c r="AH132" s="1162">
        <f>IF(1*ISERROR(VLOOKUP(Z132,Q46:Y55,9,FALSE))=1,0,VLOOKUP(Z132,Q46:Y55,9,FALSE))</f>
        <v>0</v>
      </c>
      <c r="AI132" s="1162">
        <f>IF(1*ISERROR(VLOOKUP(Z132,S46:Y55,7,FALSE))=1,0,VLOOKUP(Z132,S46:Y55,7,FALSE))</f>
        <v>0</v>
      </c>
      <c r="AJ132" s="1162">
        <f>IF(1*ISERROR(VLOOKUP(Z132,U46:Y55,5,FALSE))=1,0,VLOOKUP(Z132,U46:Y55,5,FALSE))</f>
        <v>0</v>
      </c>
      <c r="AK132" s="1162">
        <f t="shared" si="24"/>
        <v>0</v>
      </c>
      <c r="AL132" s="1162">
        <f t="shared" si="8"/>
        <v>0</v>
      </c>
      <c r="AM132" s="1162">
        <f>IF(AL132=0,35,_xlfn.RANK.EQ(AL132,AL98:AL132))</f>
        <v>35</v>
      </c>
      <c r="AN132" s="1162">
        <f>IF(AM132=35,35,AM132+COUNTIF(AM$98:AM131,AM132)/COUNTIF(AM$98:AM$132,AM132))</f>
        <v>35</v>
      </c>
      <c r="AO132" s="1162">
        <f t="shared" si="9"/>
        <v>13</v>
      </c>
      <c r="AP132" s="1162" t="s">
        <v>395</v>
      </c>
      <c r="AQ132" s="1162">
        <f>IF(1*ISERROR(VLOOKUP(Z132,C56:Y65,23,FALSE)-10)=1,0,VLOOKUP(Z132,C56:Y65,23,FALSE)-10)</f>
        <v>0</v>
      </c>
      <c r="AR132" s="1162">
        <f>IF(1*ISERROR(VLOOKUP(Z132,E56:Y65,21,FALSE)-10)=1,0,VLOOKUP(Z132,E56:Y65,21,FALSE)-10)</f>
        <v>0</v>
      </c>
      <c r="AS132" s="1162">
        <f>IF(1*ISERROR(VLOOKUP(Z132,G56:Y65,19,FALSE)-10)=1,0,VLOOKUP(Z132,G56:Y65,19,FALSE)-10)</f>
        <v>0</v>
      </c>
      <c r="AT132" s="1162">
        <f>IF(1*ISERROR(VLOOKUP(Z132,I56:Y65,17,FALSE)-10)=1,0,VLOOKUP(Z132,I56:Y65,17,FALSE)-10)</f>
        <v>0</v>
      </c>
      <c r="AU132" s="1162">
        <f>IF(1*ISERROR(VLOOKUP(Z132,K56:Y65,15,FALSE)-10)=1,0,VLOOKUP(Z132,K56:Y65,15,FALSE)-10)</f>
        <v>0</v>
      </c>
      <c r="AV132" s="1162">
        <f>IF(1*ISERROR(VLOOKUP(Z132,M56:Y65,13,FALSE)-10)=1,0,VLOOKUP(Z132,M56:Y65,13,FALSE)-10)</f>
        <v>0</v>
      </c>
      <c r="AW132" s="1162">
        <f>IF(1*ISERROR(VLOOKUP(Z132,O56:Y65,11,FALSE)-10)=1,0,VLOOKUP(Z132,O56:Y65,11,FALSE)-10)</f>
        <v>0</v>
      </c>
      <c r="AX132" s="1162">
        <f>IF(1*ISERROR(VLOOKUP(Z132,Q56:Y65,9,FALSE)-10)=1,0,VLOOKUP(Z132,Q56:Y65,9,FALSE)-10)</f>
        <v>0</v>
      </c>
      <c r="AY132" s="1162">
        <f>IF(1*ISERROR(VLOOKUP(Z132,S56:Y65,7,FALSE)-10)=1,0,VLOOKUP(Z132,S56:Y65,7,FALSE)-10)</f>
        <v>0</v>
      </c>
      <c r="AZ132" s="1163">
        <f>IF(1*ISERROR(VLOOKUP(Z132,U56:Y65,5,FALSE)-10)=1,0,VLOOKUP(Z132,U56:Y65,5,FALSE)-10)</f>
        <v>0</v>
      </c>
      <c r="BA132" s="1162">
        <f t="shared" si="10"/>
        <v>0</v>
      </c>
      <c r="BB132" s="1162">
        <f>IF(BA132=0,35,_xlfn.RANK.EQ(BA132,BA98:BA132))</f>
        <v>35</v>
      </c>
      <c r="BC132" s="1162">
        <f>IF(BB132=35,35,BB132+COUNTIF(BB$98:BB131,BB132)/COUNTIF(BB$98:BB$132,BB132))</f>
        <v>35</v>
      </c>
      <c r="BD132" s="1162">
        <f t="shared" si="11"/>
        <v>13</v>
      </c>
      <c r="BE132" s="1162" t="s">
        <v>395</v>
      </c>
      <c r="BF132" s="1162">
        <f>IF(1*ISERROR(VLOOKUP(Z132,C66:Y75,23,FALSE)-20)=1,0,VLOOKUP(Z132,C66:Y75,23,FALSE)-20)</f>
        <v>5</v>
      </c>
      <c r="BG132" s="1162">
        <f>IF(1*ISERROR(VLOOKUP(Z132,E66:Y75,21,FALSE)-20)=1,0,VLOOKUP(Z132,E66:Y75,21,FALSE)-20)</f>
        <v>5</v>
      </c>
      <c r="BH132" s="1162">
        <f>IF(1*ISERROR(VLOOKUP(Z132,G66:Y75,19,FALSE)-20)=1,0,VLOOKUP(Z132,G66:Y75,19,FALSE)-20)</f>
        <v>6</v>
      </c>
      <c r="BI132" s="1162">
        <f>IF(1*ISERROR(VLOOKUP(Z132,I66:Y75,17,FALSE)-20)=1,0,VLOOKUP(Z132,I66:Y75,17,FALSE)-20)</f>
        <v>5</v>
      </c>
      <c r="BJ132" s="1162">
        <f>IF(1*ISERROR(VLOOKUP(Z132,K66:Y75,15,FALSE)-20)=1,0,VLOOKUP(Z132,K66:Y75,15,FALSE)-20)</f>
        <v>6</v>
      </c>
      <c r="BK132" s="1162">
        <f>IF(1*ISERROR(VLOOKUP(Z132,M66:Y75,13,FALSE)-20)=1,0,VLOOKUP(Z132,M66:Y75,13,FALSE)-20)</f>
        <v>6</v>
      </c>
      <c r="BL132" s="1162">
        <f>IF(1*ISERROR(VLOOKUP(Z132,O66:Y75,11,FALSE)-20)=1,0,VLOOKUP(Z132,O66:Y75,11,FALSE)-20)</f>
        <v>7</v>
      </c>
      <c r="BM132" s="1162">
        <f>IF(1*ISERROR(VLOOKUP(Z132,Q66:Y75,9,FALSE)-20)=1,0,VLOOKUP(Z132,Q66:Y75,9,FALSE)-20)</f>
        <v>8</v>
      </c>
      <c r="BN132" s="1162">
        <f>IF(1*ISERROR(VLOOKUP(Z132,S66:Y75,7,FALSE)-20)=1,0,VLOOKUP(Z132,S66:Y75,7,FALSE)-20)</f>
        <v>7</v>
      </c>
      <c r="BO132" s="1162">
        <f>IF(1*ISERROR(VLOOKUP(Z132,U66:Y75,5,FALSE)-20)=1,0,VLOOKUP(Z132,U66:Y75,5,FALSE)-20)</f>
        <v>9</v>
      </c>
      <c r="BP132" s="1162">
        <v>10</v>
      </c>
      <c r="BQ132" s="1162">
        <f t="shared" si="12"/>
        <v>74</v>
      </c>
      <c r="BR132" s="1162">
        <f>IF(BQ132=0,35,_xlfn.RANK.EQ(BQ132,BQ98:BQ132))</f>
        <v>3</v>
      </c>
      <c r="BS132" s="1162">
        <f>IF(BR132=35,35,BR132+COUNTIF(BR$98:BR131,BR132)/COUNTIF(BR$98:BR$132,BR132))</f>
        <v>3.5</v>
      </c>
      <c r="BT132" s="1162">
        <f t="shared" si="13"/>
        <v>4</v>
      </c>
      <c r="BU132" s="1162" t="s">
        <v>395</v>
      </c>
      <c r="BV132" s="1162">
        <f>IF(1*ISERROR(VLOOKUP(Z132,C76:Y85,23,FALSE)-30)=1,0,VLOOKUP(Z132,C76:Y85,23,FALSE)-30)</f>
        <v>7</v>
      </c>
      <c r="BW132" s="1162">
        <f>IF(1*ISERROR(VLOOKUP(Z132,E76:Y85,21,FALSE)-30)=1,0,VLOOKUP(Z132,E76:Y85,21,FALSE)-30)</f>
        <v>8</v>
      </c>
      <c r="BX132" s="1162">
        <f>IF(1*ISERROR(VLOOKUP(Z132,G76:Y85,19,FALSE)-30)=1,0,VLOOKUP(Z132,G76:Y85,19,FALSE)-30)</f>
        <v>0</v>
      </c>
      <c r="BY132" s="1162">
        <f>IF(1*ISERROR(VLOOKUP(Z132,I76:Y85,17,FALSE)-30)=1,0,VLOOKUP(Z132,I76:Y85,17,FALSE)-30)</f>
        <v>9</v>
      </c>
      <c r="BZ132" s="1162">
        <f>IF(1*ISERROR(VLOOKUP(Z132,K76:Y85,15,FALSE)-30)=1,0,VLOOKUP(Z132,K76:Y85,15,FALSE)-30)</f>
        <v>7</v>
      </c>
      <c r="CA132" s="1162">
        <f>IF(1*ISERROR(VLOOKUP(Z132,M76:Y85,13,FALSE)-30)=1,0,VLOOKUP(Z132,M76:Y85,13,FALSE)-30)</f>
        <v>10</v>
      </c>
      <c r="CB132" s="1162">
        <f>IF(1*ISERROR(VLOOKUP(Z132,O76:Y85,11,FALSE)-30)=1,0,VLOOKUP(Z132,O76:Y85,11,FALSE)-30)</f>
        <v>10</v>
      </c>
      <c r="CC132" s="1162">
        <f>IF(1*ISERROR(VLOOKUP(Z132,Q76:Y85,9,FALSE)-30)=1,0,VLOOKUP(Z132,Q76:Y85,9,FALSE)-30)</f>
        <v>4</v>
      </c>
      <c r="CD132" s="1162">
        <f>IF(1*ISERROR(VLOOKUP(Z132,S76:Y85,7,FALSE)-30)=1,0,VLOOKUP(Z132,S76:Y85,7,FALSE)-30)</f>
        <v>4</v>
      </c>
      <c r="CE132" s="1162">
        <f>IF(1*ISERROR(VLOOKUP(Z132,U76:Y85,5,FALSE)-30)=1,0,VLOOKUP(Z132,U76:Y85,5,FALSE)-30)</f>
        <v>0</v>
      </c>
      <c r="CF132" s="1163">
        <v>6</v>
      </c>
      <c r="CG132" s="1162">
        <f t="shared" si="14"/>
        <v>59</v>
      </c>
      <c r="CH132" s="1162">
        <f t="shared" si="15"/>
        <v>3</v>
      </c>
      <c r="CI132" s="1162">
        <f>IF(CH132=35,35,CH132+COUNTIF(CH$98:CH131,CH132)/COUNTIF(CH$98:CH$132,CH132))</f>
        <v>3</v>
      </c>
      <c r="CJ132" s="1162">
        <f t="shared" si="16"/>
        <v>3</v>
      </c>
      <c r="CK132" s="1162" t="s">
        <v>395</v>
      </c>
      <c r="CL132" s="1162">
        <f>IF(1*ISERROR(VLOOKUP(Z132,C86:Y95,23,FALSE)-40)=1,0,VLOOKUP(Z132,C86:Y95,23,FALSE)-40)</f>
        <v>0</v>
      </c>
      <c r="CM132" s="1162">
        <f>IF(1*ISERROR(VLOOKUP(Z132,E86:Y95,21,FALSE)-40)=1,0,VLOOKUP(Z132,E86:Y95,21,FALSE)-40)</f>
        <v>0</v>
      </c>
      <c r="CN132" s="1162">
        <f>IF(1*ISERROR(VLOOKUP(Z132,G86:Y95,19,FALSE)-40)=1,0,VLOOKUP(Z132,G86:Y95,19,FALSE)-40)</f>
        <v>0</v>
      </c>
      <c r="CO132" s="1162">
        <f>IF(1*ISERROR(VLOOKUP(Z132,I86:Y95,17,FALSE)-40)=1,0,VLOOKUP(Z132,I86:Y95,17,FALSE)-40)</f>
        <v>0</v>
      </c>
      <c r="CP132" s="1162">
        <f>IF(1*ISERROR(VLOOKUP(Z132,K86:Y95,15,FALSE)-40)=1,0,VLOOKUP(Z132,K86:Y95,15,FALSE)-40)</f>
        <v>0</v>
      </c>
      <c r="CQ132" s="1162">
        <f>IF(1*ISERROR(VLOOKUP(Z132,M86:Y95,13,FALSE)-40)=1,0,VLOOKUP(Z132,M86:Y95,13,FALSE)-40)</f>
        <v>0</v>
      </c>
      <c r="CR132" s="1162">
        <f>IF(1*ISERROR(VLOOKUP(Z132,O86:Y95,11,FALSE)-40)=1,0,VLOOKUP(Z132,O86:Y95,11,FALSE)-40)</f>
        <v>0</v>
      </c>
      <c r="CS132" s="1162">
        <f>IF(1*ISERROR(VLOOKUP(Z132,Q86:Y95,9,FALSE)-40)=1,0,VLOOKUP(Z132,Q86:Y95,9,FALSE)-40)</f>
        <v>0</v>
      </c>
      <c r="CT132" s="1162">
        <f>IF(1*ISERROR(VLOOKUP(Z132,S86:Y95,7,FALSE)-40)=1,0,VLOOKUP(Z132,S86:Y95,7,FALSE)-40)</f>
        <v>0</v>
      </c>
      <c r="CU132" s="1162">
        <f>IF(1*ISERROR(VLOOKUP(Z132,U86:Y95,5,FALSE)-40)=1,0,VLOOKUP(Z132,U86:Y95,5,FALSE)-40)</f>
        <v>0</v>
      </c>
      <c r="CV132" s="1162">
        <v>0</v>
      </c>
      <c r="CW132" s="1162">
        <f t="shared" si="17"/>
        <v>0</v>
      </c>
      <c r="CX132" s="1162">
        <f>IF(CW132=0,35,_xlfn.RANK.EQ(CW132,CW98:CW132))</f>
        <v>35</v>
      </c>
      <c r="CY132" s="1162">
        <f>IF(CX132=35,35,CX132+COUNTIF(CX$98:CX131,CX132)/COUNTIF(CX$98:CX$132,CX132))</f>
        <v>35</v>
      </c>
      <c r="CZ132" s="1162">
        <f t="shared" si="18"/>
        <v>13</v>
      </c>
      <c r="DA132" s="1162" t="s">
        <v>395</v>
      </c>
      <c r="DB132" s="834"/>
      <c r="DC132" s="834"/>
      <c r="DD132" s="839"/>
      <c r="DE132" s="1098"/>
      <c r="DF132" s="1098"/>
      <c r="DG132" s="1098"/>
      <c r="DH132" s="1098"/>
      <c r="DI132" s="1098"/>
      <c r="DJ132" s="1098"/>
      <c r="DK132" s="1098"/>
      <c r="DL132" s="1098"/>
      <c r="DM132" s="1098"/>
      <c r="DN132" s="1098"/>
      <c r="DO132" s="1098"/>
    </row>
    <row r="133" spans="25:119" s="1086" customFormat="1">
      <c r="Y133" s="1113">
        <f t="shared" si="23"/>
        <v>36</v>
      </c>
      <c r="Z133" s="1162"/>
      <c r="AA133" s="1162"/>
      <c r="AB133" s="1162"/>
      <c r="AC133" s="1162"/>
      <c r="AD133" s="1162"/>
      <c r="AE133" s="1162"/>
      <c r="AF133" s="1162"/>
      <c r="AG133" s="1162"/>
      <c r="AH133" s="1162"/>
      <c r="AI133" s="1162"/>
      <c r="AJ133" s="1162"/>
      <c r="AK133" s="1162"/>
      <c r="AL133" s="1162"/>
      <c r="AM133" s="1162">
        <f>_xlfn.MAXIFS(AM$98:AM$132,AM$98:AM$132,"&lt;35")</f>
        <v>12</v>
      </c>
      <c r="AN133" s="1162"/>
      <c r="AO133" s="1162">
        <f>_xlfn.MAXIFS(AO$98:AO$132,AO$98:AO$132,"&lt;35")</f>
        <v>13</v>
      </c>
      <c r="AP133" s="1162"/>
      <c r="AQ133" s="1162"/>
      <c r="AR133" s="1162"/>
      <c r="AS133" s="1162"/>
      <c r="AT133" s="1162"/>
      <c r="AU133" s="1162"/>
      <c r="AV133" s="1162"/>
      <c r="AW133" s="1162"/>
      <c r="AX133" s="1162"/>
      <c r="AY133" s="1162"/>
      <c r="AZ133" s="1163"/>
      <c r="BA133" s="1162"/>
      <c r="BB133" s="1162">
        <f>_xlfn.MAXIFS(BB$98:BB$132,BB$98:BB$132,"&lt;35")</f>
        <v>11</v>
      </c>
      <c r="BC133" s="1162"/>
      <c r="BD133" s="1162">
        <f>_xlfn.MAXIFS(BD$98:BD$132,BD$98:BD$132,"&lt;35")</f>
        <v>13</v>
      </c>
      <c r="BE133" s="1162"/>
      <c r="BF133" s="1162"/>
      <c r="BG133" s="1162"/>
      <c r="BH133" s="1162"/>
      <c r="BI133" s="1162"/>
      <c r="BJ133" s="1162"/>
      <c r="BK133" s="1162"/>
      <c r="BL133" s="1162"/>
      <c r="BM133" s="1162"/>
      <c r="BN133" s="1162"/>
      <c r="BO133" s="1162"/>
      <c r="BP133" s="1162"/>
      <c r="BQ133" s="1162"/>
      <c r="BR133" s="1162">
        <f>_xlfn.MAXIFS(BR$98:BR$132,BR$98:BR$132,"&lt;35")+1</f>
        <v>13</v>
      </c>
      <c r="BS133" s="1162"/>
      <c r="BT133" s="1162">
        <f>_xlfn.MAXIFS(BT$98:BT$132,BT$98:BT$132,"&lt;35")</f>
        <v>13</v>
      </c>
      <c r="BU133" s="1162"/>
      <c r="BV133" s="1162"/>
      <c r="BW133" s="1162"/>
      <c r="BX133" s="1162"/>
      <c r="BY133" s="1162"/>
      <c r="BZ133" s="1162"/>
      <c r="CA133" s="1162"/>
      <c r="CB133" s="1162"/>
      <c r="CC133" s="1162"/>
      <c r="CD133" s="1162"/>
      <c r="CE133" s="1162"/>
      <c r="CF133" s="1162"/>
      <c r="CG133" s="1162"/>
      <c r="CH133" s="1162">
        <f>_xlfn.MAXIFS(CH$98:CH$132,CH$98:CH$132,"&lt;35")</f>
        <v>19</v>
      </c>
      <c r="CI133" s="1162"/>
      <c r="CJ133" s="1162">
        <f>_xlfn.MAXIFS(CJ$98:CJ$132,CJ$98:CJ$132,"&lt;35")</f>
        <v>20</v>
      </c>
      <c r="CK133" s="1162"/>
      <c r="CL133" s="1162"/>
      <c r="CM133" s="1162"/>
      <c r="CN133" s="1162"/>
      <c r="CO133" s="1162"/>
      <c r="CP133" s="1162"/>
      <c r="CQ133" s="1162"/>
      <c r="CR133" s="1162"/>
      <c r="CS133" s="1162"/>
      <c r="CT133" s="1162"/>
      <c r="CU133" s="1162"/>
      <c r="CV133" s="1162"/>
      <c r="CW133" s="1162"/>
      <c r="CX133" s="1162">
        <f>_xlfn.MAXIFS(CX$98:CX$132,CX$98:CX$132,"&lt;35")</f>
        <v>12</v>
      </c>
      <c r="CY133" s="1162"/>
      <c r="CZ133" s="1162">
        <f>_xlfn.MAXIFS(CZ$98:CZ$132,CZ$98:CZ$132,"&lt;35")</f>
        <v>13</v>
      </c>
      <c r="DA133" s="834"/>
      <c r="DB133" s="834"/>
      <c r="DC133" s="834"/>
      <c r="DD133" s="839"/>
      <c r="DE133" s="1098"/>
      <c r="DF133" s="1098"/>
      <c r="DG133" s="1098"/>
      <c r="DH133" s="1098"/>
      <c r="DI133" s="1098"/>
      <c r="DJ133" s="1098"/>
      <c r="DK133" s="1098"/>
      <c r="DL133" s="1098"/>
      <c r="DM133" s="1098"/>
      <c r="DN133" s="1098"/>
      <c r="DO133" s="1098"/>
    </row>
    <row r="134" spans="25:119" s="1086" customFormat="1">
      <c r="Y134" s="1113">
        <f t="shared" si="23"/>
        <v>37</v>
      </c>
      <c r="Z134" s="1162"/>
      <c r="AA134" s="1162"/>
      <c r="AB134" s="1162"/>
      <c r="AC134" s="1162"/>
      <c r="AD134" s="1162"/>
      <c r="AE134" s="1162"/>
      <c r="AF134" s="1162"/>
      <c r="AG134" s="1162"/>
      <c r="AH134" s="1162"/>
      <c r="AI134" s="1162"/>
      <c r="AJ134" s="1162"/>
      <c r="AK134" s="1162"/>
      <c r="AL134" s="1162"/>
      <c r="AM134" s="1162"/>
      <c r="AN134" s="1162"/>
      <c r="AO134" s="1162"/>
      <c r="AP134" s="1162"/>
      <c r="AQ134" s="1162"/>
      <c r="AR134" s="1162"/>
      <c r="AS134" s="1162"/>
      <c r="AT134" s="1162"/>
      <c r="AU134" s="1162"/>
      <c r="AV134" s="1162"/>
      <c r="AW134" s="1162"/>
      <c r="AX134" s="1162"/>
      <c r="AY134" s="1162"/>
      <c r="AZ134" s="1162"/>
      <c r="BA134" s="1162"/>
      <c r="BB134" s="1162"/>
      <c r="BC134" s="1162"/>
      <c r="BD134" s="1162"/>
      <c r="BE134" s="1162"/>
      <c r="BF134" s="1162"/>
      <c r="BG134" s="1162"/>
      <c r="BH134" s="1162"/>
      <c r="BI134" s="1162"/>
      <c r="BJ134" s="1162"/>
      <c r="BK134" s="1162"/>
      <c r="BL134" s="1162"/>
      <c r="BM134" s="1162"/>
      <c r="BN134" s="1162"/>
      <c r="BO134" s="1162"/>
      <c r="BP134" s="1162"/>
      <c r="BQ134" s="1162"/>
      <c r="BR134" s="1162"/>
      <c r="BS134" s="1162"/>
      <c r="BT134" s="1162"/>
      <c r="BU134" s="1162"/>
      <c r="BV134" s="1162"/>
      <c r="BW134" s="1162"/>
      <c r="BX134" s="1162"/>
      <c r="BY134" s="1162"/>
      <c r="BZ134" s="1162"/>
      <c r="CA134" s="1162"/>
      <c r="CB134" s="1162"/>
      <c r="CC134" s="1162"/>
      <c r="CD134" s="1162"/>
      <c r="CE134" s="1162"/>
      <c r="CF134" s="1162"/>
      <c r="CG134" s="1162"/>
      <c r="CH134" s="1162">
        <v>11</v>
      </c>
      <c r="CI134" s="1162"/>
      <c r="CJ134" s="1162"/>
      <c r="CK134" s="1162"/>
      <c r="CL134" s="1162"/>
      <c r="CM134" s="1162"/>
      <c r="CN134" s="1162"/>
      <c r="CO134" s="1162"/>
      <c r="CP134" s="1162"/>
      <c r="CQ134" s="1162"/>
      <c r="CR134" s="1162"/>
      <c r="CS134" s="1162"/>
      <c r="CT134" s="1162"/>
      <c r="CU134" s="1162"/>
      <c r="CV134" s="1162"/>
      <c r="CW134" s="1162"/>
      <c r="CX134" s="1162"/>
      <c r="CY134" s="1162"/>
      <c r="CZ134" s="834"/>
      <c r="DA134" s="834"/>
      <c r="DB134" s="834"/>
      <c r="DC134" s="834"/>
      <c r="DD134" s="839"/>
      <c r="DE134" s="1098"/>
      <c r="DF134" s="1098"/>
      <c r="DG134" s="1098"/>
      <c r="DH134" s="1098"/>
      <c r="DI134" s="1098"/>
      <c r="DJ134" s="1098"/>
      <c r="DK134" s="1098"/>
      <c r="DL134" s="1098"/>
      <c r="DM134" s="1098"/>
      <c r="DN134" s="1098"/>
      <c r="DO134" s="1098"/>
    </row>
    <row r="135" spans="25:119" s="1086" customFormat="1">
      <c r="Y135" s="1113">
        <f t="shared" si="23"/>
        <v>38</v>
      </c>
      <c r="Z135" s="1162"/>
      <c r="AA135" s="1162"/>
      <c r="AB135" s="1162"/>
      <c r="AC135" s="1162"/>
      <c r="AD135" s="1162"/>
      <c r="AE135" s="1162"/>
      <c r="AF135" s="1162"/>
      <c r="AG135" s="1162"/>
      <c r="AH135" s="1162"/>
      <c r="AI135" s="1162"/>
      <c r="AJ135" s="1162"/>
      <c r="AK135" s="1162"/>
      <c r="AL135" s="1162"/>
      <c r="AM135" s="1162"/>
      <c r="AN135" s="1162"/>
      <c r="AO135" s="1162"/>
      <c r="AP135" s="1162"/>
      <c r="AQ135" s="1162"/>
      <c r="AR135" s="1162"/>
      <c r="AS135" s="1162"/>
      <c r="AT135" s="1162"/>
      <c r="AU135" s="1162"/>
      <c r="AV135" s="1162"/>
      <c r="AW135" s="1162"/>
      <c r="AX135" s="1162"/>
      <c r="AY135" s="1162"/>
      <c r="AZ135" s="1162"/>
      <c r="BA135" s="1162"/>
      <c r="BB135" s="1162"/>
      <c r="BC135" s="1162"/>
      <c r="BD135" s="1162"/>
      <c r="BE135" s="1162"/>
      <c r="BF135" s="1162"/>
      <c r="BG135" s="1162"/>
      <c r="BH135" s="1162"/>
      <c r="BI135" s="1162"/>
      <c r="BJ135" s="1162"/>
      <c r="BK135" s="1162"/>
      <c r="BL135" s="1162"/>
      <c r="BM135" s="1162"/>
      <c r="BN135" s="1162"/>
      <c r="BO135" s="1162"/>
      <c r="BP135" s="1162"/>
      <c r="BQ135" s="1162"/>
      <c r="BR135" s="1162"/>
      <c r="BS135" s="1162"/>
      <c r="BT135" s="1162"/>
      <c r="BU135" s="1162"/>
      <c r="BV135" s="1162"/>
      <c r="BW135" s="1162"/>
      <c r="BX135" s="1162"/>
      <c r="BY135" s="1162"/>
      <c r="BZ135" s="1162"/>
      <c r="CA135" s="1162"/>
      <c r="CB135" s="1162"/>
      <c r="CC135" s="1162"/>
      <c r="CD135" s="1162"/>
      <c r="CE135" s="1162"/>
      <c r="CF135" s="1162"/>
      <c r="CG135" s="1162"/>
      <c r="CH135" s="1162"/>
      <c r="CI135" s="1162"/>
      <c r="CJ135" s="1162"/>
      <c r="CK135" s="1162"/>
      <c r="CL135" s="1162"/>
      <c r="CM135" s="1162"/>
      <c r="CN135" s="1162"/>
      <c r="CO135" s="1162"/>
      <c r="CP135" s="1162"/>
      <c r="CQ135" s="1162"/>
      <c r="CR135" s="1162"/>
      <c r="CS135" s="1162"/>
      <c r="CT135" s="1162"/>
      <c r="CU135" s="1162"/>
      <c r="CV135" s="1162"/>
      <c r="CW135" s="1162"/>
      <c r="CX135" s="1162"/>
      <c r="CY135" s="1162"/>
      <c r="CZ135" s="834"/>
      <c r="DA135" s="834"/>
      <c r="DB135" s="834"/>
      <c r="DC135" s="834"/>
      <c r="DD135" s="839"/>
      <c r="DE135" s="1098"/>
      <c r="DF135" s="1098"/>
      <c r="DG135" s="1098"/>
      <c r="DH135" s="1098"/>
      <c r="DI135" s="1098"/>
      <c r="DJ135" s="1098"/>
      <c r="DK135" s="1098"/>
      <c r="DL135" s="1098"/>
      <c r="DM135" s="1098"/>
      <c r="DN135" s="1098"/>
      <c r="DO135" s="1098"/>
    </row>
    <row r="136" spans="25:119" s="1086" customFormat="1">
      <c r="Y136" s="1113">
        <f t="shared" si="23"/>
        <v>39</v>
      </c>
      <c r="Z136" s="1162"/>
      <c r="AA136" s="1162"/>
      <c r="AB136" s="1162"/>
      <c r="AC136" s="1162"/>
      <c r="AD136" s="1162"/>
      <c r="AE136" s="1162"/>
      <c r="AF136" s="1162"/>
      <c r="AG136" s="1162"/>
      <c r="AH136" s="1162"/>
      <c r="AI136" s="1162"/>
      <c r="AJ136" s="1162"/>
      <c r="AK136" s="1162"/>
      <c r="AL136" s="1162"/>
      <c r="AM136" s="1162"/>
      <c r="AN136" s="1162"/>
      <c r="AO136" s="1162"/>
      <c r="AP136" s="1162"/>
      <c r="AQ136" s="1162"/>
      <c r="AR136" s="1162"/>
      <c r="AS136" s="1162"/>
      <c r="AT136" s="1162"/>
      <c r="AU136" s="1162"/>
      <c r="AV136" s="1162"/>
      <c r="AW136" s="1162"/>
      <c r="AX136" s="1162"/>
      <c r="AY136" s="1162"/>
      <c r="AZ136" s="1162"/>
      <c r="BA136" s="1162"/>
      <c r="BB136" s="1162"/>
      <c r="BC136" s="1162"/>
      <c r="BD136" s="1162"/>
      <c r="BE136" s="1162"/>
      <c r="BF136" s="1162"/>
      <c r="BG136" s="1162"/>
      <c r="BH136" s="1162"/>
      <c r="BI136" s="1162"/>
      <c r="BJ136" s="1162"/>
      <c r="BK136" s="1162"/>
      <c r="BL136" s="1162"/>
      <c r="BM136" s="1162"/>
      <c r="BN136" s="1162"/>
      <c r="BO136" s="1162"/>
      <c r="BP136" s="1162"/>
      <c r="BQ136" s="1162"/>
      <c r="BR136" s="1162"/>
      <c r="BS136" s="1162"/>
      <c r="BT136" s="1162"/>
      <c r="BU136" s="1162"/>
      <c r="BV136" s="1162"/>
      <c r="BW136" s="1162"/>
      <c r="BX136" s="1162"/>
      <c r="BY136" s="1162"/>
      <c r="BZ136" s="1162"/>
      <c r="CA136" s="1162"/>
      <c r="CB136" s="1162"/>
      <c r="CC136" s="1162"/>
      <c r="CD136" s="1162"/>
      <c r="CE136" s="1162"/>
      <c r="CF136" s="1162"/>
      <c r="CG136" s="1162"/>
      <c r="CH136" s="1162"/>
      <c r="CI136" s="1162"/>
      <c r="CJ136" s="1162"/>
      <c r="CK136" s="1162"/>
      <c r="CL136" s="1162"/>
      <c r="CM136" s="1162"/>
      <c r="CN136" s="1162"/>
      <c r="CO136" s="1162"/>
      <c r="CP136" s="1162"/>
      <c r="CQ136" s="1162"/>
      <c r="CR136" s="1162"/>
      <c r="CS136" s="1162"/>
      <c r="CT136" s="1162"/>
      <c r="CU136" s="1162"/>
      <c r="CV136" s="1162"/>
      <c r="CW136" s="1162"/>
      <c r="CX136" s="1162"/>
      <c r="CY136" s="1162"/>
      <c r="CZ136" s="834"/>
      <c r="DA136" s="834"/>
      <c r="DB136" s="834"/>
      <c r="DC136" s="834"/>
      <c r="DD136" s="839"/>
      <c r="DE136" s="1098"/>
      <c r="DF136" s="1098"/>
      <c r="DG136" s="1098"/>
      <c r="DH136" s="1098"/>
      <c r="DI136" s="1098"/>
      <c r="DJ136" s="1098"/>
      <c r="DK136" s="1098"/>
      <c r="DL136" s="1098"/>
      <c r="DM136" s="1098"/>
      <c r="DN136" s="1098"/>
      <c r="DO136" s="1098"/>
    </row>
    <row r="137" spans="25:119" s="1086" customFormat="1">
      <c r="Y137" s="1113">
        <f t="shared" si="23"/>
        <v>40</v>
      </c>
      <c r="Z137" s="1162"/>
      <c r="AA137" s="1162"/>
      <c r="AB137" s="1162"/>
      <c r="AC137" s="1162"/>
      <c r="AD137" s="1162"/>
      <c r="AE137" s="1162"/>
      <c r="AF137" s="1162"/>
      <c r="AG137" s="1162"/>
      <c r="AH137" s="1162"/>
      <c r="AI137" s="1162"/>
      <c r="AJ137" s="1162"/>
      <c r="AK137" s="1162"/>
      <c r="AL137" s="1162"/>
      <c r="AM137" s="1162"/>
      <c r="AN137" s="1162"/>
      <c r="AO137" s="1162"/>
      <c r="AP137" s="1162"/>
      <c r="AQ137" s="1162"/>
      <c r="AR137" s="1162"/>
      <c r="AS137" s="1162"/>
      <c r="AT137" s="1162"/>
      <c r="AU137" s="1162"/>
      <c r="AV137" s="1162"/>
      <c r="AW137" s="1162"/>
      <c r="AX137" s="1162"/>
      <c r="AY137" s="1162"/>
      <c r="AZ137" s="1162"/>
      <c r="BA137" s="1162"/>
      <c r="BB137" s="1162"/>
      <c r="BC137" s="1162"/>
      <c r="BD137" s="1162"/>
      <c r="BE137" s="1162"/>
      <c r="BF137" s="1162"/>
      <c r="BG137" s="1162"/>
      <c r="BH137" s="1162"/>
      <c r="BI137" s="1162"/>
      <c r="BJ137" s="1162"/>
      <c r="BK137" s="1162"/>
      <c r="BL137" s="1162"/>
      <c r="BM137" s="1162"/>
      <c r="BN137" s="1162"/>
      <c r="BO137" s="1162"/>
      <c r="BP137" s="1162"/>
      <c r="BQ137" s="1162"/>
      <c r="BR137" s="1162"/>
      <c r="BS137" s="1162"/>
      <c r="BT137" s="1162"/>
      <c r="BU137" s="1162"/>
      <c r="BV137" s="1162"/>
      <c r="BW137" s="1162"/>
      <c r="BX137" s="1162"/>
      <c r="BY137" s="1162"/>
      <c r="BZ137" s="1162"/>
      <c r="CA137" s="1162"/>
      <c r="CB137" s="1162"/>
      <c r="CC137" s="1162"/>
      <c r="CD137" s="1162"/>
      <c r="CE137" s="1162"/>
      <c r="CF137" s="1162"/>
      <c r="CG137" s="1162"/>
      <c r="CH137" s="1162"/>
      <c r="CI137" s="1162"/>
      <c r="CJ137" s="1162"/>
      <c r="CK137" s="1162"/>
      <c r="CL137" s="1162"/>
      <c r="CM137" s="1162"/>
      <c r="CN137" s="1162"/>
      <c r="CO137" s="1162"/>
      <c r="CP137" s="1162"/>
      <c r="CQ137" s="1162"/>
      <c r="CR137" s="1162"/>
      <c r="CS137" s="1162"/>
      <c r="CT137" s="1162"/>
      <c r="CU137" s="1162"/>
      <c r="CV137" s="1162"/>
      <c r="CW137" s="1162"/>
      <c r="CX137" s="1162"/>
      <c r="CY137" s="1162"/>
      <c r="CZ137" s="834"/>
      <c r="DA137" s="834"/>
      <c r="DB137" s="834"/>
      <c r="DC137" s="834"/>
      <c r="DD137" s="839"/>
      <c r="DE137" s="1098"/>
      <c r="DF137" s="1098"/>
      <c r="DG137" s="1098"/>
      <c r="DH137" s="1098"/>
      <c r="DI137" s="1098"/>
      <c r="DJ137" s="1098"/>
      <c r="DK137" s="1098"/>
      <c r="DL137" s="1098"/>
      <c r="DM137" s="1098"/>
      <c r="DN137" s="1098"/>
      <c r="DO137" s="1098"/>
    </row>
    <row r="138" spans="25:119" s="1086" customFormat="1">
      <c r="Y138" s="1113">
        <f t="shared" si="23"/>
        <v>41</v>
      </c>
      <c r="Z138" s="1162"/>
      <c r="AA138" s="1162"/>
      <c r="AB138" s="1162"/>
      <c r="AC138" s="1162"/>
      <c r="AD138" s="1162"/>
      <c r="AE138" s="1162"/>
      <c r="AF138" s="1162"/>
      <c r="AG138" s="1162"/>
      <c r="AH138" s="1162"/>
      <c r="AI138" s="1162"/>
      <c r="AJ138" s="1162"/>
      <c r="AK138" s="1162"/>
      <c r="AL138" s="1162"/>
      <c r="AM138" s="1162"/>
      <c r="AN138" s="1162"/>
      <c r="AO138" s="1162"/>
      <c r="AP138" s="1162"/>
      <c r="AQ138" s="1162"/>
      <c r="AR138" s="1162"/>
      <c r="AS138" s="1162"/>
      <c r="AT138" s="1162"/>
      <c r="AU138" s="1162"/>
      <c r="AV138" s="1162"/>
      <c r="AW138" s="1162"/>
      <c r="AX138" s="1162"/>
      <c r="AY138" s="1162"/>
      <c r="AZ138" s="1162"/>
      <c r="BA138" s="1162"/>
      <c r="BB138" s="1162"/>
      <c r="BC138" s="1162"/>
      <c r="BD138" s="1162"/>
      <c r="BE138" s="1162"/>
      <c r="BF138" s="1162"/>
      <c r="BG138" s="1162"/>
      <c r="BH138" s="1162"/>
      <c r="BI138" s="1162"/>
      <c r="BJ138" s="1162"/>
      <c r="BK138" s="1162"/>
      <c r="BL138" s="1162"/>
      <c r="BM138" s="1162"/>
      <c r="BN138" s="1162"/>
      <c r="BO138" s="1162"/>
      <c r="BP138" s="1162"/>
      <c r="BQ138" s="1162"/>
      <c r="BR138" s="1162"/>
      <c r="BS138" s="1162"/>
      <c r="BT138" s="1162"/>
      <c r="BU138" s="1162"/>
      <c r="BV138" s="1162"/>
      <c r="BW138" s="1162"/>
      <c r="BX138" s="1162"/>
      <c r="BY138" s="1162"/>
      <c r="BZ138" s="1162"/>
      <c r="CA138" s="1162"/>
      <c r="CB138" s="1162"/>
      <c r="CC138" s="1162"/>
      <c r="CD138" s="1162"/>
      <c r="CE138" s="1162"/>
      <c r="CF138" s="1162"/>
      <c r="CG138" s="1162"/>
      <c r="CH138" s="1162"/>
      <c r="CI138" s="1162"/>
      <c r="CJ138" s="1162"/>
      <c r="CK138" s="1162"/>
      <c r="CL138" s="1162"/>
      <c r="CM138" s="1162"/>
      <c r="CN138" s="1162"/>
      <c r="CO138" s="1162"/>
      <c r="CP138" s="1162"/>
      <c r="CQ138" s="1162"/>
      <c r="CR138" s="1162"/>
      <c r="CS138" s="1162"/>
      <c r="CT138" s="1162"/>
      <c r="CU138" s="1162"/>
      <c r="CV138" s="1162"/>
      <c r="CW138" s="1162"/>
      <c r="CX138" s="1162"/>
      <c r="CY138" s="1162"/>
      <c r="CZ138" s="834"/>
      <c r="DA138" s="834"/>
      <c r="DB138" s="834"/>
      <c r="DC138" s="834"/>
      <c r="DD138" s="839"/>
      <c r="DE138" s="1098"/>
      <c r="DF138" s="1098"/>
      <c r="DG138" s="1098"/>
      <c r="DH138" s="1098"/>
      <c r="DI138" s="1098"/>
      <c r="DJ138" s="1098"/>
      <c r="DK138" s="1098"/>
      <c r="DL138" s="1098"/>
      <c r="DM138" s="1098"/>
      <c r="DN138" s="1098"/>
      <c r="DO138" s="1098"/>
    </row>
    <row r="139" spans="25:119" s="1086" customFormat="1">
      <c r="Y139" s="1113">
        <f t="shared" si="23"/>
        <v>42</v>
      </c>
      <c r="Z139" s="1162"/>
      <c r="AA139" s="1162"/>
      <c r="AB139" s="1162"/>
      <c r="AC139" s="1162"/>
      <c r="AD139" s="1162"/>
      <c r="AE139" s="1162"/>
      <c r="AF139" s="1162"/>
      <c r="AG139" s="1162"/>
      <c r="AH139" s="1162"/>
      <c r="AI139" s="1162"/>
      <c r="AJ139" s="1162"/>
      <c r="AK139" s="1162"/>
      <c r="AL139" s="1162"/>
      <c r="AM139" s="1162"/>
      <c r="AN139" s="1162"/>
      <c r="AO139" s="1162"/>
      <c r="AP139" s="1162"/>
      <c r="AQ139" s="1162"/>
      <c r="AR139" s="1162"/>
      <c r="AS139" s="1162"/>
      <c r="AT139" s="1162"/>
      <c r="AU139" s="1162"/>
      <c r="AV139" s="1162"/>
      <c r="AW139" s="1162"/>
      <c r="AX139" s="1162"/>
      <c r="AY139" s="1162"/>
      <c r="AZ139" s="1162"/>
      <c r="BA139" s="1162"/>
      <c r="BB139" s="1162"/>
      <c r="BC139" s="1162"/>
      <c r="BD139" s="1162"/>
      <c r="BE139" s="1162"/>
      <c r="BF139" s="1162"/>
      <c r="BG139" s="1162"/>
      <c r="BH139" s="1162"/>
      <c r="BI139" s="1162"/>
      <c r="BJ139" s="1162"/>
      <c r="BK139" s="1162"/>
      <c r="BL139" s="1162"/>
      <c r="BM139" s="1162"/>
      <c r="BN139" s="1162"/>
      <c r="BO139" s="1162"/>
      <c r="BP139" s="1162"/>
      <c r="BQ139" s="1162"/>
      <c r="BR139" s="1162"/>
      <c r="BS139" s="1162"/>
      <c r="BT139" s="1162"/>
      <c r="BU139" s="1162"/>
      <c r="BV139" s="1162"/>
      <c r="BW139" s="1162"/>
      <c r="BX139" s="1162"/>
      <c r="BY139" s="1162"/>
      <c r="BZ139" s="1162"/>
      <c r="CA139" s="1162"/>
      <c r="CB139" s="1162"/>
      <c r="CC139" s="1162"/>
      <c r="CD139" s="1162"/>
      <c r="CE139" s="1162"/>
      <c r="CF139" s="1162"/>
      <c r="CG139" s="1162"/>
      <c r="CH139" s="1162"/>
      <c r="CI139" s="1162"/>
      <c r="CJ139" s="1162"/>
      <c r="CK139" s="1162"/>
      <c r="CL139" s="1162"/>
      <c r="CM139" s="1162"/>
      <c r="CN139" s="1162"/>
      <c r="CO139" s="1162"/>
      <c r="CP139" s="1162"/>
      <c r="CQ139" s="1162"/>
      <c r="CR139" s="1162"/>
      <c r="CS139" s="1162"/>
      <c r="CT139" s="1162"/>
      <c r="CU139" s="1162"/>
      <c r="CV139" s="1162"/>
      <c r="CW139" s="1162"/>
      <c r="CX139" s="1162"/>
      <c r="CY139" s="1162"/>
      <c r="CZ139" s="834"/>
      <c r="DA139" s="834"/>
      <c r="DB139" s="834"/>
      <c r="DC139" s="834"/>
      <c r="DD139" s="839"/>
      <c r="DE139" s="1098"/>
      <c r="DF139" s="1098"/>
      <c r="DG139" s="1098"/>
      <c r="DH139" s="1098"/>
      <c r="DI139" s="1098"/>
      <c r="DJ139" s="1098"/>
      <c r="DK139" s="1098"/>
      <c r="DL139" s="1098"/>
      <c r="DM139" s="1098"/>
      <c r="DN139" s="1098"/>
      <c r="DO139" s="1098"/>
    </row>
    <row r="140" spans="25:119" s="1086" customFormat="1">
      <c r="Y140" s="1113">
        <f t="shared" si="23"/>
        <v>43</v>
      </c>
      <c r="Z140" s="1162"/>
      <c r="AA140" s="1162"/>
      <c r="AB140" s="1162"/>
      <c r="AC140" s="1162"/>
      <c r="AD140" s="1162"/>
      <c r="AE140" s="1162"/>
      <c r="AF140" s="1162"/>
      <c r="AG140" s="1162"/>
      <c r="AH140" s="1162"/>
      <c r="AI140" s="1162"/>
      <c r="AJ140" s="1162"/>
      <c r="AK140" s="1162"/>
      <c r="AL140" s="1162"/>
      <c r="AM140" s="1162"/>
      <c r="AN140" s="1162"/>
      <c r="AO140" s="1162"/>
      <c r="AP140" s="1162"/>
      <c r="AQ140" s="1162"/>
      <c r="AR140" s="1162"/>
      <c r="AS140" s="1162"/>
      <c r="AT140" s="1162"/>
      <c r="AU140" s="1162"/>
      <c r="AV140" s="1162"/>
      <c r="AW140" s="1162"/>
      <c r="AX140" s="1162"/>
      <c r="AY140" s="1162"/>
      <c r="AZ140" s="1162"/>
      <c r="BA140" s="1162"/>
      <c r="BB140" s="1162"/>
      <c r="BC140" s="1162"/>
      <c r="BD140" s="1162"/>
      <c r="BE140" s="1162"/>
      <c r="BF140" s="1162"/>
      <c r="BG140" s="1162"/>
      <c r="BH140" s="1162"/>
      <c r="BI140" s="1162"/>
      <c r="BJ140" s="1162"/>
      <c r="BK140" s="1162"/>
      <c r="BL140" s="1162"/>
      <c r="BM140" s="1162"/>
      <c r="BN140" s="1162"/>
      <c r="BO140" s="1162"/>
      <c r="BP140" s="1162"/>
      <c r="BQ140" s="1162"/>
      <c r="BR140" s="1162"/>
      <c r="BS140" s="1162"/>
      <c r="BT140" s="1162"/>
      <c r="BU140" s="1162"/>
      <c r="BV140" s="1162"/>
      <c r="BW140" s="1162"/>
      <c r="BX140" s="1162"/>
      <c r="BY140" s="1162"/>
      <c r="BZ140" s="1162"/>
      <c r="CA140" s="1162"/>
      <c r="CB140" s="1162"/>
      <c r="CC140" s="1162"/>
      <c r="CD140" s="1162"/>
      <c r="CE140" s="1162"/>
      <c r="CF140" s="1162"/>
      <c r="CG140" s="1162"/>
      <c r="CH140" s="1162"/>
      <c r="CI140" s="1162"/>
      <c r="CJ140" s="1162"/>
      <c r="CK140" s="1162"/>
      <c r="CL140" s="1162"/>
      <c r="CM140" s="1162"/>
      <c r="CN140" s="1162"/>
      <c r="CO140" s="1162"/>
      <c r="CP140" s="1162"/>
      <c r="CQ140" s="1162"/>
      <c r="CR140" s="1162"/>
      <c r="CS140" s="1162"/>
      <c r="CT140" s="1162"/>
      <c r="CU140" s="1162"/>
      <c r="CV140" s="1162"/>
      <c r="CW140" s="1162"/>
      <c r="CX140" s="1162"/>
      <c r="CY140" s="1162"/>
      <c r="CZ140" s="834"/>
      <c r="DA140" s="834"/>
      <c r="DB140" s="834"/>
      <c r="DC140" s="834"/>
      <c r="DD140" s="839"/>
      <c r="DE140" s="1098"/>
      <c r="DF140" s="1098"/>
      <c r="DG140" s="1098"/>
      <c r="DH140" s="1098"/>
      <c r="DI140" s="1098"/>
      <c r="DJ140" s="1098"/>
      <c r="DK140" s="1098"/>
      <c r="DL140" s="1098"/>
      <c r="DM140" s="1098"/>
      <c r="DN140" s="1098"/>
      <c r="DO140" s="1098"/>
    </row>
    <row r="141" spans="25:119" s="1086" customFormat="1">
      <c r="Y141" s="1113">
        <f t="shared" si="23"/>
        <v>44</v>
      </c>
      <c r="Z141" s="1162"/>
      <c r="AA141" s="1162"/>
      <c r="AB141" s="1162"/>
      <c r="AC141" s="1162"/>
      <c r="AD141" s="1162"/>
      <c r="AE141" s="1162"/>
      <c r="AF141" s="1162"/>
      <c r="AG141" s="1162"/>
      <c r="AH141" s="1162"/>
      <c r="AI141" s="1162"/>
      <c r="AJ141" s="1162"/>
      <c r="AK141" s="1162"/>
      <c r="AL141" s="1162"/>
      <c r="AM141" s="1162"/>
      <c r="AN141" s="1162"/>
      <c r="AO141" s="1162"/>
      <c r="AP141" s="1162"/>
      <c r="AQ141" s="1162"/>
      <c r="AR141" s="1162"/>
      <c r="AS141" s="1162"/>
      <c r="AT141" s="1162"/>
      <c r="AU141" s="1162"/>
      <c r="AV141" s="1162"/>
      <c r="AW141" s="1162"/>
      <c r="AX141" s="1162"/>
      <c r="AY141" s="1162"/>
      <c r="AZ141" s="1162"/>
      <c r="BA141" s="1162"/>
      <c r="BB141" s="1162"/>
      <c r="BC141" s="1162"/>
      <c r="BD141" s="1162"/>
      <c r="BE141" s="1162"/>
      <c r="BF141" s="1162"/>
      <c r="BG141" s="1162"/>
      <c r="BH141" s="1162"/>
      <c r="BI141" s="1162"/>
      <c r="BJ141" s="1162"/>
      <c r="BK141" s="1162"/>
      <c r="BL141" s="1162"/>
      <c r="BM141" s="1162"/>
      <c r="BN141" s="1162"/>
      <c r="BO141" s="1162"/>
      <c r="BP141" s="1162"/>
      <c r="BQ141" s="1162"/>
      <c r="BR141" s="1162"/>
      <c r="BS141" s="1162"/>
      <c r="BT141" s="1162"/>
      <c r="BU141" s="1162"/>
      <c r="BV141" s="1162"/>
      <c r="BW141" s="1162"/>
      <c r="BX141" s="1162"/>
      <c r="BY141" s="1162"/>
      <c r="BZ141" s="1162"/>
      <c r="CA141" s="1162"/>
      <c r="CB141" s="1162"/>
      <c r="CC141" s="1162"/>
      <c r="CD141" s="1162"/>
      <c r="CE141" s="1162"/>
      <c r="CF141" s="1162"/>
      <c r="CG141" s="1162"/>
      <c r="CH141" s="1162"/>
      <c r="CI141" s="1162"/>
      <c r="CJ141" s="1162"/>
      <c r="CK141" s="1162"/>
      <c r="CL141" s="1162"/>
      <c r="CM141" s="1162"/>
      <c r="CN141" s="1162"/>
      <c r="CO141" s="1162"/>
      <c r="CP141" s="1162"/>
      <c r="CQ141" s="1162"/>
      <c r="CR141" s="1162"/>
      <c r="CS141" s="1162"/>
      <c r="CT141" s="1162"/>
      <c r="CU141" s="1162"/>
      <c r="CV141" s="1162"/>
      <c r="CW141" s="1162"/>
      <c r="CX141" s="1162"/>
      <c r="CY141" s="1162"/>
      <c r="CZ141" s="834"/>
      <c r="DA141" s="834"/>
      <c r="DB141" s="834"/>
      <c r="DC141" s="834"/>
      <c r="DD141" s="839"/>
      <c r="DE141" s="1098"/>
      <c r="DF141" s="1098"/>
      <c r="DG141" s="1098"/>
      <c r="DH141" s="1098"/>
      <c r="DI141" s="1098"/>
      <c r="DJ141" s="1098"/>
      <c r="DK141" s="1098"/>
      <c r="DL141" s="1098"/>
      <c r="DM141" s="1098"/>
      <c r="DN141" s="1098"/>
      <c r="DO141" s="1098"/>
    </row>
    <row r="142" spans="25:119" s="1086" customFormat="1">
      <c r="Y142" s="1113">
        <f t="shared" si="23"/>
        <v>45</v>
      </c>
      <c r="Z142" s="1162"/>
      <c r="AA142" s="1162"/>
      <c r="AB142" s="1162"/>
      <c r="AC142" s="1162"/>
      <c r="AD142" s="1162"/>
      <c r="AE142" s="1162"/>
      <c r="AF142" s="1162"/>
      <c r="AG142" s="1162"/>
      <c r="AH142" s="1162"/>
      <c r="AI142" s="1162"/>
      <c r="AJ142" s="1162"/>
      <c r="AK142" s="1162"/>
      <c r="AL142" s="1162"/>
      <c r="AM142" s="1162"/>
      <c r="AN142" s="1162"/>
      <c r="AO142" s="1162"/>
      <c r="AP142" s="1162"/>
      <c r="AQ142" s="1162"/>
      <c r="AR142" s="1162"/>
      <c r="AS142" s="1162"/>
      <c r="AT142" s="1162"/>
      <c r="AU142" s="1162"/>
      <c r="AV142" s="1162"/>
      <c r="AW142" s="1162"/>
      <c r="AX142" s="1162"/>
      <c r="AY142" s="1162"/>
      <c r="AZ142" s="1162"/>
      <c r="BA142" s="1162"/>
      <c r="BB142" s="1162"/>
      <c r="BC142" s="1162"/>
      <c r="BD142" s="1162"/>
      <c r="BE142" s="1162"/>
      <c r="BF142" s="1162"/>
      <c r="BG142" s="1162"/>
      <c r="BH142" s="1162"/>
      <c r="BI142" s="1162"/>
      <c r="BJ142" s="1162"/>
      <c r="BK142" s="1162"/>
      <c r="BL142" s="1162"/>
      <c r="BM142" s="1162"/>
      <c r="BN142" s="1162"/>
      <c r="BO142" s="1162"/>
      <c r="BP142" s="1162"/>
      <c r="BQ142" s="1162"/>
      <c r="BR142" s="1162"/>
      <c r="BS142" s="1162"/>
      <c r="BT142" s="1162"/>
      <c r="BU142" s="1162"/>
      <c r="BV142" s="1162"/>
      <c r="BW142" s="1162"/>
      <c r="BX142" s="1162"/>
      <c r="BY142" s="1162"/>
      <c r="BZ142" s="1162"/>
      <c r="CA142" s="1162"/>
      <c r="CB142" s="1162"/>
      <c r="CC142" s="1162"/>
      <c r="CD142" s="1162"/>
      <c r="CE142" s="1162"/>
      <c r="CF142" s="1162"/>
      <c r="CG142" s="1162"/>
      <c r="CH142" s="1162"/>
      <c r="CI142" s="1162"/>
      <c r="CJ142" s="1162"/>
      <c r="CK142" s="1162"/>
      <c r="CL142" s="1162"/>
      <c r="CM142" s="1162"/>
      <c r="CN142" s="1162"/>
      <c r="CO142" s="1162"/>
      <c r="CP142" s="1162"/>
      <c r="CQ142" s="1162"/>
      <c r="CR142" s="1162"/>
      <c r="CS142" s="1162"/>
      <c r="CT142" s="1162"/>
      <c r="CU142" s="1162"/>
      <c r="CV142" s="1162"/>
      <c r="CW142" s="1162"/>
      <c r="CX142" s="1162"/>
      <c r="CY142" s="1162"/>
      <c r="CZ142" s="834"/>
      <c r="DA142" s="834"/>
      <c r="DB142" s="834"/>
      <c r="DC142" s="834"/>
      <c r="DD142" s="839"/>
      <c r="DE142" s="1098"/>
      <c r="DF142" s="1098"/>
      <c r="DG142" s="1098"/>
      <c r="DH142" s="1098"/>
      <c r="DI142" s="1098"/>
      <c r="DJ142" s="1098"/>
      <c r="DK142" s="1098"/>
      <c r="DL142" s="1098"/>
      <c r="DM142" s="1098"/>
      <c r="DN142" s="1098"/>
      <c r="DO142" s="1098"/>
    </row>
    <row r="143" spans="25:119" s="1086" customFormat="1">
      <c r="Y143" s="1113">
        <f t="shared" si="23"/>
        <v>46</v>
      </c>
      <c r="Z143" s="1162"/>
      <c r="AA143" s="1162"/>
      <c r="AB143" s="1162"/>
      <c r="AC143" s="1162"/>
      <c r="AD143" s="1162"/>
      <c r="AE143" s="1162"/>
      <c r="AF143" s="1162"/>
      <c r="AG143" s="1162"/>
      <c r="AH143" s="1162"/>
      <c r="AI143" s="1162"/>
      <c r="AJ143" s="1162"/>
      <c r="AK143" s="1162"/>
      <c r="AL143" s="1162"/>
      <c r="AM143" s="1162"/>
      <c r="AN143" s="1162"/>
      <c r="AO143" s="1162"/>
      <c r="AP143" s="1162"/>
      <c r="AQ143" s="1162"/>
      <c r="AR143" s="1162"/>
      <c r="AS143" s="1162"/>
      <c r="AT143" s="1162"/>
      <c r="AU143" s="1162"/>
      <c r="AV143" s="1162"/>
      <c r="AW143" s="1162"/>
      <c r="AX143" s="1162"/>
      <c r="AY143" s="1162"/>
      <c r="AZ143" s="1162"/>
      <c r="BA143" s="1162"/>
      <c r="BB143" s="1162"/>
      <c r="BC143" s="1162"/>
      <c r="BD143" s="1162"/>
      <c r="BE143" s="1162"/>
      <c r="BF143" s="1162"/>
      <c r="BG143" s="1162"/>
      <c r="BH143" s="1162"/>
      <c r="BI143" s="1162"/>
      <c r="BJ143" s="1162"/>
      <c r="BK143" s="1162"/>
      <c r="BL143" s="1162"/>
      <c r="BM143" s="1162"/>
      <c r="BN143" s="1162"/>
      <c r="BO143" s="1162"/>
      <c r="BP143" s="1162"/>
      <c r="BQ143" s="1162"/>
      <c r="BR143" s="1162"/>
      <c r="BS143" s="1162"/>
      <c r="BT143" s="1162"/>
      <c r="BU143" s="1162"/>
      <c r="BV143" s="1162"/>
      <c r="BW143" s="1162"/>
      <c r="BX143" s="1162"/>
      <c r="BY143" s="1162"/>
      <c r="BZ143" s="1162"/>
      <c r="CA143" s="1162"/>
      <c r="CB143" s="1162"/>
      <c r="CC143" s="1162"/>
      <c r="CD143" s="1162"/>
      <c r="CE143" s="1162"/>
      <c r="CF143" s="1162"/>
      <c r="CG143" s="1162"/>
      <c r="CH143" s="1162"/>
      <c r="CI143" s="1162"/>
      <c r="CJ143" s="1162"/>
      <c r="CK143" s="1162"/>
      <c r="CL143" s="1162"/>
      <c r="CM143" s="1162"/>
      <c r="CN143" s="1162"/>
      <c r="CO143" s="1162"/>
      <c r="CP143" s="1162"/>
      <c r="CQ143" s="1162"/>
      <c r="CR143" s="1162"/>
      <c r="CS143" s="1162"/>
      <c r="CT143" s="1162"/>
      <c r="CU143" s="1162"/>
      <c r="CV143" s="1162"/>
      <c r="CW143" s="1162"/>
      <c r="CX143" s="1162"/>
      <c r="CY143" s="1162"/>
      <c r="CZ143" s="834"/>
      <c r="DA143" s="834"/>
      <c r="DB143" s="834"/>
      <c r="DC143" s="834"/>
      <c r="DD143" s="839"/>
      <c r="DE143" s="1098"/>
      <c r="DF143" s="1098"/>
      <c r="DG143" s="1098"/>
      <c r="DH143" s="1098"/>
      <c r="DI143" s="1098"/>
      <c r="DJ143" s="1098"/>
      <c r="DK143" s="1098"/>
      <c r="DL143" s="1098"/>
      <c r="DM143" s="1098"/>
      <c r="DN143" s="1098"/>
      <c r="DO143" s="1098"/>
    </row>
    <row r="144" spans="25:119" s="1086" customFormat="1">
      <c r="Y144" s="1113">
        <f t="shared" si="23"/>
        <v>47</v>
      </c>
      <c r="Z144" s="1162"/>
      <c r="AA144" s="1162"/>
      <c r="AB144" s="1162"/>
      <c r="AC144" s="1162"/>
      <c r="AD144" s="1162"/>
      <c r="AE144" s="1162"/>
      <c r="AF144" s="1162"/>
      <c r="AG144" s="1162"/>
      <c r="AH144" s="1162"/>
      <c r="AI144" s="1162"/>
      <c r="AJ144" s="1162"/>
      <c r="AK144" s="1162"/>
      <c r="AL144" s="1162"/>
      <c r="AM144" s="1162"/>
      <c r="AN144" s="1162"/>
      <c r="AO144" s="1162"/>
      <c r="AP144" s="1162"/>
      <c r="AQ144" s="1162"/>
      <c r="AR144" s="1162"/>
      <c r="AS144" s="1162"/>
      <c r="AT144" s="1162"/>
      <c r="AU144" s="1162"/>
      <c r="AV144" s="1162"/>
      <c r="AW144" s="1162"/>
      <c r="AX144" s="1162"/>
      <c r="AY144" s="1162"/>
      <c r="AZ144" s="1162"/>
      <c r="BA144" s="1162"/>
      <c r="BB144" s="1162"/>
      <c r="BC144" s="1162"/>
      <c r="BD144" s="1162"/>
      <c r="BE144" s="1162"/>
      <c r="BF144" s="1162"/>
      <c r="BG144" s="1162"/>
      <c r="BH144" s="1162"/>
      <c r="BI144" s="1162"/>
      <c r="BJ144" s="1162"/>
      <c r="BK144" s="1162"/>
      <c r="BL144" s="1162"/>
      <c r="BM144" s="1162"/>
      <c r="BN144" s="1162"/>
      <c r="BO144" s="1162"/>
      <c r="BP144" s="1162"/>
      <c r="BQ144" s="1162"/>
      <c r="BR144" s="1162"/>
      <c r="BS144" s="1162"/>
      <c r="BT144" s="1162"/>
      <c r="BU144" s="1162"/>
      <c r="BV144" s="1162"/>
      <c r="BW144" s="1162"/>
      <c r="BX144" s="1162"/>
      <c r="BY144" s="1162"/>
      <c r="BZ144" s="1162"/>
      <c r="CA144" s="1162"/>
      <c r="CB144" s="1162"/>
      <c r="CC144" s="1162"/>
      <c r="CD144" s="1162"/>
      <c r="CE144" s="1162"/>
      <c r="CF144" s="1162"/>
      <c r="CG144" s="1162"/>
      <c r="CH144" s="1162"/>
      <c r="CI144" s="1162"/>
      <c r="CJ144" s="1162"/>
      <c r="CK144" s="1162"/>
      <c r="CL144" s="1162"/>
      <c r="CM144" s="1162"/>
      <c r="CN144" s="1162"/>
      <c r="CO144" s="1162"/>
      <c r="CP144" s="1162"/>
      <c r="CQ144" s="1162"/>
      <c r="CR144" s="1162"/>
      <c r="CS144" s="1162"/>
      <c r="CT144" s="1162"/>
      <c r="CU144" s="1162"/>
      <c r="CV144" s="1162"/>
      <c r="CW144" s="1162"/>
      <c r="CX144" s="1162"/>
      <c r="CY144" s="1162"/>
      <c r="CZ144" s="834"/>
      <c r="DA144" s="834"/>
      <c r="DB144" s="834"/>
      <c r="DC144" s="834"/>
      <c r="DD144" s="839"/>
      <c r="DE144" s="1098"/>
      <c r="DF144" s="1098"/>
      <c r="DG144" s="1098"/>
      <c r="DH144" s="1098"/>
      <c r="DI144" s="1098"/>
      <c r="DJ144" s="1098"/>
      <c r="DK144" s="1098"/>
      <c r="DL144" s="1098"/>
      <c r="DM144" s="1098"/>
      <c r="DN144" s="1098"/>
      <c r="DO144" s="1098"/>
    </row>
    <row r="145" spans="25:119" s="1086" customFormat="1">
      <c r="Y145" s="1113">
        <f t="shared" si="23"/>
        <v>48</v>
      </c>
      <c r="Z145" s="1162"/>
      <c r="AA145" s="1162"/>
      <c r="AB145" s="1162"/>
      <c r="AC145" s="1162"/>
      <c r="AD145" s="1162"/>
      <c r="AE145" s="1162"/>
      <c r="AF145" s="1162"/>
      <c r="AG145" s="1162"/>
      <c r="AH145" s="1162"/>
      <c r="AI145" s="1162"/>
      <c r="AJ145" s="1162"/>
      <c r="AK145" s="1162"/>
      <c r="AL145" s="1162"/>
      <c r="AM145" s="1162"/>
      <c r="AN145" s="1162"/>
      <c r="AO145" s="1162"/>
      <c r="AP145" s="1162"/>
      <c r="AQ145" s="1162"/>
      <c r="AR145" s="1162"/>
      <c r="AS145" s="1162"/>
      <c r="AT145" s="1162"/>
      <c r="AU145" s="1162"/>
      <c r="AV145" s="1162"/>
      <c r="AW145" s="1162"/>
      <c r="AX145" s="1162"/>
      <c r="AY145" s="1162"/>
      <c r="AZ145" s="1162"/>
      <c r="BA145" s="1162"/>
      <c r="BB145" s="1162"/>
      <c r="BC145" s="1162"/>
      <c r="BD145" s="1162"/>
      <c r="BE145" s="1162"/>
      <c r="BF145" s="1162"/>
      <c r="BG145" s="1162"/>
      <c r="BH145" s="1162"/>
      <c r="BI145" s="1162"/>
      <c r="BJ145" s="1162"/>
      <c r="BK145" s="1162"/>
      <c r="BL145" s="1162"/>
      <c r="BM145" s="1162"/>
      <c r="BN145" s="1162"/>
      <c r="BO145" s="1162"/>
      <c r="BP145" s="1162"/>
      <c r="BQ145" s="1162"/>
      <c r="BR145" s="1162"/>
      <c r="BS145" s="1162"/>
      <c r="BT145" s="1162"/>
      <c r="BU145" s="1162"/>
      <c r="BV145" s="1162"/>
      <c r="BW145" s="1162"/>
      <c r="BX145" s="1162"/>
      <c r="BY145" s="1162"/>
      <c r="BZ145" s="1162"/>
      <c r="CA145" s="1162"/>
      <c r="CB145" s="1162"/>
      <c r="CC145" s="1162"/>
      <c r="CD145" s="1162"/>
      <c r="CE145" s="1162"/>
      <c r="CF145" s="1162"/>
      <c r="CG145" s="1162"/>
      <c r="CH145" s="1162"/>
      <c r="CI145" s="1162"/>
      <c r="CJ145" s="1162"/>
      <c r="CK145" s="1162"/>
      <c r="CL145" s="1162"/>
      <c r="CM145" s="1162"/>
      <c r="CN145" s="1162"/>
      <c r="CO145" s="1162"/>
      <c r="CP145" s="1162"/>
      <c r="CQ145" s="1162"/>
      <c r="CR145" s="1162"/>
      <c r="CS145" s="1162"/>
      <c r="CT145" s="1162"/>
      <c r="CU145" s="1162"/>
      <c r="CV145" s="1162"/>
      <c r="CW145" s="1162"/>
      <c r="CX145" s="1162"/>
      <c r="CY145" s="1162"/>
      <c r="CZ145" s="834"/>
      <c r="DA145" s="834"/>
      <c r="DB145" s="834"/>
      <c r="DC145" s="834"/>
      <c r="DD145" s="839"/>
      <c r="DE145" s="1098"/>
      <c r="DF145" s="1098"/>
      <c r="DG145" s="1098"/>
      <c r="DH145" s="1098"/>
      <c r="DI145" s="1098"/>
      <c r="DJ145" s="1098"/>
      <c r="DK145" s="1098"/>
      <c r="DL145" s="1098"/>
      <c r="DM145" s="1098"/>
      <c r="DN145" s="1098"/>
      <c r="DO145" s="1098"/>
    </row>
    <row r="146" spans="25:119" s="1086" customFormat="1">
      <c r="Y146" s="1113">
        <f t="shared" si="23"/>
        <v>49</v>
      </c>
      <c r="Z146" s="1162"/>
      <c r="AA146" s="1162"/>
      <c r="AB146" s="1162"/>
      <c r="AC146" s="1162"/>
      <c r="AD146" s="1162"/>
      <c r="AE146" s="1162"/>
      <c r="AF146" s="1162"/>
      <c r="AG146" s="1162"/>
      <c r="AH146" s="1162"/>
      <c r="AI146" s="1162"/>
      <c r="AJ146" s="1162"/>
      <c r="AK146" s="1162"/>
      <c r="AL146" s="1162"/>
      <c r="AM146" s="1162"/>
      <c r="AN146" s="1162"/>
      <c r="AO146" s="1162"/>
      <c r="AP146" s="1162"/>
      <c r="AQ146" s="1162"/>
      <c r="AR146" s="1162"/>
      <c r="AS146" s="1162"/>
      <c r="AT146" s="1162"/>
      <c r="AU146" s="1162"/>
      <c r="AV146" s="1162"/>
      <c r="AW146" s="1162"/>
      <c r="AX146" s="1162"/>
      <c r="AY146" s="1162"/>
      <c r="AZ146" s="1162"/>
      <c r="BA146" s="1162"/>
      <c r="BB146" s="1162"/>
      <c r="BC146" s="1162"/>
      <c r="BD146" s="1162"/>
      <c r="BE146" s="1162"/>
      <c r="BF146" s="1162"/>
      <c r="BG146" s="1162"/>
      <c r="BH146" s="1162"/>
      <c r="BI146" s="1162"/>
      <c r="BJ146" s="1162"/>
      <c r="BK146" s="1162"/>
      <c r="BL146" s="1162"/>
      <c r="BM146" s="1162"/>
      <c r="BN146" s="1162"/>
      <c r="BO146" s="1162"/>
      <c r="BP146" s="1162"/>
      <c r="BQ146" s="1162"/>
      <c r="BR146" s="1162"/>
      <c r="BS146" s="1162"/>
      <c r="BT146" s="1162"/>
      <c r="BU146" s="1162"/>
      <c r="BV146" s="1162"/>
      <c r="BW146" s="1162"/>
      <c r="BX146" s="1162"/>
      <c r="BY146" s="1162"/>
      <c r="BZ146" s="1162"/>
      <c r="CA146" s="1162"/>
      <c r="CB146" s="1162"/>
      <c r="CC146" s="1162"/>
      <c r="CD146" s="1162"/>
      <c r="CE146" s="1162"/>
      <c r="CF146" s="1162"/>
      <c r="CG146" s="1162"/>
      <c r="CH146" s="1162"/>
      <c r="CI146" s="1162"/>
      <c r="CJ146" s="1162"/>
      <c r="CK146" s="1162"/>
      <c r="CL146" s="1162"/>
      <c r="CM146" s="1162"/>
      <c r="CN146" s="1162"/>
      <c r="CO146" s="1162"/>
      <c r="CP146" s="1162"/>
      <c r="CQ146" s="1162"/>
      <c r="CR146" s="1162"/>
      <c r="CS146" s="1162"/>
      <c r="CT146" s="1162"/>
      <c r="CU146" s="1162"/>
      <c r="CV146" s="1162"/>
      <c r="CW146" s="1162"/>
      <c r="CX146" s="1162"/>
      <c r="CY146" s="1162"/>
      <c r="CZ146" s="834"/>
      <c r="DA146" s="834"/>
      <c r="DB146" s="834"/>
      <c r="DC146" s="834"/>
      <c r="DD146" s="839"/>
      <c r="DE146" s="1098"/>
      <c r="DF146" s="1098"/>
      <c r="DG146" s="1098"/>
      <c r="DH146" s="1098"/>
      <c r="DI146" s="1098"/>
      <c r="DJ146" s="1098"/>
      <c r="DK146" s="1098"/>
      <c r="DL146" s="1098"/>
      <c r="DM146" s="1098"/>
      <c r="DN146" s="1098"/>
      <c r="DO146" s="1098"/>
    </row>
    <row r="147" spans="25:119" s="1086" customFormat="1">
      <c r="Y147" s="1113">
        <f t="shared" si="23"/>
        <v>50</v>
      </c>
      <c r="Z147" s="1162"/>
      <c r="AA147" s="1162"/>
      <c r="AB147" s="1162"/>
      <c r="AC147" s="1162"/>
      <c r="AD147" s="1162"/>
      <c r="AE147" s="1162"/>
      <c r="AF147" s="1162"/>
      <c r="AG147" s="1162"/>
      <c r="AH147" s="1162"/>
      <c r="AI147" s="1162"/>
      <c r="AJ147" s="1162"/>
      <c r="AK147" s="1162"/>
      <c r="AL147" s="1162"/>
      <c r="AM147" s="1162"/>
      <c r="AN147" s="1162"/>
      <c r="AO147" s="1162"/>
      <c r="AP147" s="1162"/>
      <c r="AQ147" s="1162"/>
      <c r="AR147" s="1162"/>
      <c r="AS147" s="1162"/>
      <c r="AT147" s="1162"/>
      <c r="AU147" s="1162"/>
      <c r="AV147" s="1162"/>
      <c r="AW147" s="1162"/>
      <c r="AX147" s="1162"/>
      <c r="AY147" s="1162"/>
      <c r="AZ147" s="1162"/>
      <c r="BA147" s="1162"/>
      <c r="BB147" s="1162"/>
      <c r="BC147" s="1162"/>
      <c r="BD147" s="1162"/>
      <c r="BE147" s="1162"/>
      <c r="BF147" s="1162"/>
      <c r="BG147" s="1162"/>
      <c r="BH147" s="1162"/>
      <c r="BI147" s="1162"/>
      <c r="BJ147" s="1162"/>
      <c r="BK147" s="1162"/>
      <c r="BL147" s="1162"/>
      <c r="BM147" s="1162"/>
      <c r="BN147" s="1162"/>
      <c r="BO147" s="1162"/>
      <c r="BP147" s="1162"/>
      <c r="BQ147" s="1162"/>
      <c r="BR147" s="1162"/>
      <c r="BS147" s="1162"/>
      <c r="BT147" s="1162"/>
      <c r="BU147" s="1162"/>
      <c r="BV147" s="1162"/>
      <c r="BW147" s="1162"/>
      <c r="BX147" s="1162"/>
      <c r="BY147" s="1162"/>
      <c r="BZ147" s="1162"/>
      <c r="CA147" s="1162"/>
      <c r="CB147" s="1162"/>
      <c r="CC147" s="1162"/>
      <c r="CD147" s="1162"/>
      <c r="CE147" s="1162"/>
      <c r="CF147" s="1162"/>
      <c r="CG147" s="1162"/>
      <c r="CH147" s="1162"/>
      <c r="CI147" s="1162"/>
      <c r="CJ147" s="1162"/>
      <c r="CK147" s="1162"/>
      <c r="CL147" s="1162"/>
      <c r="CM147" s="1162"/>
      <c r="CN147" s="1162"/>
      <c r="CO147" s="1162"/>
      <c r="CP147" s="1162"/>
      <c r="CQ147" s="1162"/>
      <c r="CR147" s="1162"/>
      <c r="CS147" s="1162"/>
      <c r="CT147" s="1162"/>
      <c r="CU147" s="1162"/>
      <c r="CV147" s="1162"/>
      <c r="CW147" s="1162"/>
      <c r="CX147" s="1162"/>
      <c r="CY147" s="1162"/>
      <c r="CZ147" s="834"/>
      <c r="DA147" s="834"/>
      <c r="DB147" s="834"/>
      <c r="DC147" s="834"/>
      <c r="DD147" s="839"/>
      <c r="DE147" s="1098"/>
      <c r="DF147" s="1098"/>
      <c r="DG147" s="1098"/>
      <c r="DH147" s="1098"/>
      <c r="DI147" s="1098"/>
      <c r="DJ147" s="1098"/>
      <c r="DK147" s="1098"/>
      <c r="DL147" s="1098"/>
      <c r="DM147" s="1098"/>
      <c r="DN147" s="1098"/>
      <c r="DO147" s="1098"/>
    </row>
    <row r="148" spans="25:119" s="1086" customFormat="1">
      <c r="Y148" s="1113"/>
      <c r="Z148" s="1162"/>
      <c r="AA148" s="1162"/>
      <c r="AB148" s="1162"/>
      <c r="AC148" s="1162"/>
      <c r="AD148" s="1162"/>
      <c r="AE148" s="1162"/>
      <c r="AF148" s="1162"/>
      <c r="AG148" s="1162"/>
      <c r="AH148" s="1162"/>
      <c r="AI148" s="1162"/>
      <c r="AJ148" s="1162"/>
      <c r="AK148" s="1162"/>
      <c r="AL148" s="1162"/>
      <c r="AM148" s="1162"/>
      <c r="AN148" s="1162"/>
      <c r="AO148" s="1162"/>
      <c r="AP148" s="1162"/>
      <c r="AQ148" s="1162"/>
      <c r="AR148" s="1162"/>
      <c r="AS148" s="1162"/>
      <c r="AT148" s="1162"/>
      <c r="AU148" s="1162"/>
      <c r="AV148" s="1162"/>
      <c r="AW148" s="1162"/>
      <c r="AX148" s="1162"/>
      <c r="AY148" s="1162"/>
      <c r="AZ148" s="1162"/>
      <c r="BA148" s="1162"/>
      <c r="BB148" s="1162"/>
      <c r="BC148" s="1162"/>
      <c r="BD148" s="1162"/>
      <c r="BE148" s="1162"/>
      <c r="BF148" s="1162"/>
      <c r="BG148" s="1162"/>
      <c r="BH148" s="1162"/>
      <c r="BI148" s="1162"/>
      <c r="BJ148" s="1162"/>
      <c r="BK148" s="1162"/>
      <c r="BL148" s="1162"/>
      <c r="BM148" s="1162"/>
      <c r="BN148" s="1162"/>
      <c r="BO148" s="1162"/>
      <c r="BP148" s="1162"/>
      <c r="BQ148" s="1162"/>
      <c r="BR148" s="1162"/>
      <c r="BS148" s="1162"/>
      <c r="BT148" s="1162"/>
      <c r="BU148" s="1162"/>
      <c r="BV148" s="1162"/>
      <c r="BW148" s="1162"/>
      <c r="BX148" s="1162"/>
      <c r="BY148" s="1162"/>
      <c r="BZ148" s="1162"/>
      <c r="CA148" s="1162"/>
      <c r="CB148" s="1162"/>
      <c r="CC148" s="1162"/>
      <c r="CD148" s="1162"/>
      <c r="CE148" s="1162"/>
      <c r="CF148" s="1162"/>
      <c r="CG148" s="1162"/>
      <c r="CH148" s="1162"/>
      <c r="CI148" s="1162"/>
      <c r="CJ148" s="1162"/>
      <c r="CK148" s="1162"/>
      <c r="CL148" s="1162"/>
      <c r="CM148" s="1162"/>
      <c r="CN148" s="1162"/>
      <c r="CO148" s="1162"/>
      <c r="CP148" s="1162"/>
      <c r="CQ148" s="1162"/>
      <c r="CR148" s="1162"/>
      <c r="CS148" s="1162"/>
      <c r="CT148" s="1162"/>
      <c r="CU148" s="1162"/>
      <c r="CV148" s="1162"/>
      <c r="CW148" s="1162"/>
      <c r="CX148" s="1162"/>
      <c r="CY148" s="1162"/>
      <c r="CZ148" s="834"/>
      <c r="DA148" s="834"/>
      <c r="DB148" s="834"/>
      <c r="DC148" s="834"/>
      <c r="DD148" s="839"/>
      <c r="DE148" s="1098"/>
      <c r="DF148" s="1098"/>
      <c r="DG148" s="1098"/>
      <c r="DH148" s="1098"/>
      <c r="DI148" s="1098"/>
      <c r="DJ148" s="1098"/>
      <c r="DK148" s="1098"/>
      <c r="DL148" s="1098"/>
      <c r="DM148" s="1098"/>
      <c r="DN148" s="1098"/>
      <c r="DO148" s="1098"/>
    </row>
    <row r="149" spans="25:119" s="1086" customFormat="1">
      <c r="Y149" s="1113"/>
      <c r="Z149" s="1162" t="str">
        <f t="shared" ref="Z149:AK149" si="25">Z97</f>
        <v>EPO</v>
      </c>
      <c r="AA149" s="1162">
        <f t="shared" si="25"/>
        <v>2012</v>
      </c>
      <c r="AB149" s="1162">
        <f t="shared" si="25"/>
        <v>2013</v>
      </c>
      <c r="AC149" s="1162">
        <f t="shared" si="25"/>
        <v>2014</v>
      </c>
      <c r="AD149" s="1162">
        <f t="shared" si="25"/>
        <v>2015</v>
      </c>
      <c r="AE149" s="1162">
        <f t="shared" si="25"/>
        <v>2016</v>
      </c>
      <c r="AF149" s="1162">
        <f t="shared" si="25"/>
        <v>2017</v>
      </c>
      <c r="AG149" s="1162">
        <f t="shared" si="25"/>
        <v>2018</v>
      </c>
      <c r="AH149" s="1162">
        <f t="shared" si="25"/>
        <v>2019</v>
      </c>
      <c r="AI149" s="1162">
        <f t="shared" si="25"/>
        <v>2020</v>
      </c>
      <c r="AJ149" s="1162">
        <f t="shared" si="25"/>
        <v>2021</v>
      </c>
      <c r="AK149" s="1162">
        <f t="shared" si="25"/>
        <v>2022</v>
      </c>
      <c r="AL149" s="1162"/>
      <c r="AM149" s="1162"/>
      <c r="AN149" s="1162"/>
      <c r="AO149" s="1162"/>
      <c r="AP149" s="1162" t="str">
        <f>AP97</f>
        <v>JPO</v>
      </c>
      <c r="AQ149" s="1162">
        <f>AQ97</f>
        <v>2012</v>
      </c>
      <c r="AR149" s="1162">
        <f t="shared" ref="AR149:AZ149" si="26">AR97</f>
        <v>2013</v>
      </c>
      <c r="AS149" s="1162">
        <f t="shared" si="26"/>
        <v>2014</v>
      </c>
      <c r="AT149" s="1162">
        <f t="shared" si="26"/>
        <v>2015</v>
      </c>
      <c r="AU149" s="1162">
        <f t="shared" si="26"/>
        <v>2016</v>
      </c>
      <c r="AV149" s="1162">
        <f t="shared" si="26"/>
        <v>2017</v>
      </c>
      <c r="AW149" s="1162">
        <f t="shared" si="26"/>
        <v>2018</v>
      </c>
      <c r="AX149" s="1162">
        <f t="shared" si="26"/>
        <v>2019</v>
      </c>
      <c r="AY149" s="1162">
        <f t="shared" si="26"/>
        <v>2020</v>
      </c>
      <c r="AZ149" s="1162">
        <f t="shared" si="26"/>
        <v>2021</v>
      </c>
      <c r="BA149" s="1162"/>
      <c r="BB149" s="1162"/>
      <c r="BC149" s="1162"/>
      <c r="BD149" s="1162"/>
      <c r="BE149" s="1162" t="str">
        <f>BE97</f>
        <v>KIPO</v>
      </c>
      <c r="BF149" s="1162">
        <f>BF97</f>
        <v>2012</v>
      </c>
      <c r="BG149" s="1162">
        <f t="shared" ref="BG149:BO149" si="27">BG97</f>
        <v>2013</v>
      </c>
      <c r="BH149" s="1162">
        <f t="shared" si="27"/>
        <v>2014</v>
      </c>
      <c r="BI149" s="1162">
        <f t="shared" si="27"/>
        <v>2015</v>
      </c>
      <c r="BJ149" s="1162">
        <f t="shared" si="27"/>
        <v>2016</v>
      </c>
      <c r="BK149" s="1162">
        <f t="shared" si="27"/>
        <v>2017</v>
      </c>
      <c r="BL149" s="1162">
        <f t="shared" si="27"/>
        <v>2018</v>
      </c>
      <c r="BM149" s="1162">
        <f t="shared" si="27"/>
        <v>2019</v>
      </c>
      <c r="BN149" s="1162">
        <f t="shared" si="27"/>
        <v>2020</v>
      </c>
      <c r="BO149" s="1162">
        <f t="shared" si="27"/>
        <v>2021</v>
      </c>
      <c r="BP149" s="1162">
        <v>2022</v>
      </c>
      <c r="BQ149" s="1162"/>
      <c r="BR149" s="1162"/>
      <c r="BS149" s="1162"/>
      <c r="BT149" s="1162"/>
      <c r="BU149" s="1163" t="str">
        <f>BU97</f>
        <v>CNIPA</v>
      </c>
      <c r="BV149" s="1162">
        <f>BV97</f>
        <v>2012</v>
      </c>
      <c r="BW149" s="1162">
        <f t="shared" ref="BW149:CF149" si="28">BW97</f>
        <v>2013</v>
      </c>
      <c r="BX149" s="1162">
        <f t="shared" si="28"/>
        <v>2014</v>
      </c>
      <c r="BY149" s="1162">
        <f t="shared" si="28"/>
        <v>2015</v>
      </c>
      <c r="BZ149" s="1162">
        <f t="shared" si="28"/>
        <v>2016</v>
      </c>
      <c r="CA149" s="1162">
        <f t="shared" si="28"/>
        <v>2017</v>
      </c>
      <c r="CB149" s="1162">
        <f t="shared" si="28"/>
        <v>2018</v>
      </c>
      <c r="CC149" s="1162">
        <f t="shared" si="28"/>
        <v>2019</v>
      </c>
      <c r="CD149" s="1162">
        <f t="shared" si="28"/>
        <v>2020</v>
      </c>
      <c r="CE149" s="1162">
        <f t="shared" si="28"/>
        <v>2021</v>
      </c>
      <c r="CF149" s="1162">
        <f t="shared" si="28"/>
        <v>2022</v>
      </c>
      <c r="CG149" s="1162"/>
      <c r="CH149" s="1162"/>
      <c r="CI149" s="1162"/>
      <c r="CJ149" s="1162"/>
      <c r="CK149" s="1162" t="str">
        <f>CK97</f>
        <v>USPTO</v>
      </c>
      <c r="CL149" s="1162">
        <f>CL97</f>
        <v>2012</v>
      </c>
      <c r="CM149" s="1162">
        <f t="shared" ref="CM149:CV149" si="29">CM97</f>
        <v>2013</v>
      </c>
      <c r="CN149" s="1162">
        <f t="shared" si="29"/>
        <v>2014</v>
      </c>
      <c r="CO149" s="1162">
        <f t="shared" si="29"/>
        <v>2015</v>
      </c>
      <c r="CP149" s="1162">
        <f t="shared" si="29"/>
        <v>2016</v>
      </c>
      <c r="CQ149" s="1162">
        <f t="shared" si="29"/>
        <v>2017</v>
      </c>
      <c r="CR149" s="1162">
        <f t="shared" si="29"/>
        <v>2018</v>
      </c>
      <c r="CS149" s="1162">
        <f t="shared" si="29"/>
        <v>2019</v>
      </c>
      <c r="CT149" s="1162">
        <f t="shared" si="29"/>
        <v>2020</v>
      </c>
      <c r="CU149" s="1162">
        <f t="shared" si="29"/>
        <v>2021</v>
      </c>
      <c r="CV149" s="1162">
        <f t="shared" si="29"/>
        <v>2022</v>
      </c>
      <c r="CW149" s="1162"/>
      <c r="CX149" s="1162"/>
      <c r="CY149" s="1162"/>
      <c r="CZ149" s="834"/>
      <c r="DA149" s="834"/>
      <c r="DB149" s="834"/>
      <c r="DC149" s="834"/>
      <c r="DD149" s="839"/>
      <c r="DE149" s="1098"/>
      <c r="DF149" s="1098"/>
      <c r="DG149" s="1098"/>
      <c r="DH149" s="1098"/>
      <c r="DI149" s="1098"/>
      <c r="DJ149" s="1098"/>
      <c r="DK149" s="1098"/>
      <c r="DL149" s="1098"/>
      <c r="DM149" s="1098"/>
      <c r="DN149" s="1098"/>
      <c r="DO149" s="1098"/>
    </row>
    <row r="150" spans="25:119" s="1086" customFormat="1">
      <c r="Y150" s="1113">
        <f t="shared" si="23"/>
        <v>1</v>
      </c>
      <c r="Z150" s="1162" t="str">
        <f>IF(Y98&lt;AO$133,VLOOKUP(Y98,AO$98:AP$132,2,FALSE),"")</f>
        <v>Biotechnology</v>
      </c>
      <c r="AA150" s="1162">
        <f>IF(VLOOKUP(Z150,Z98:AL132,2,FALSE)=0,"",VLOOKUP(Z150,Z98:AL132,2,FALSE))</f>
        <v>10</v>
      </c>
      <c r="AB150" s="1162">
        <f>IF(VLOOKUP(Z150,Z98:AJ132,3,FALSE)=0,11,VLOOKUP(Z150,Z98:AJ132,3,FALSE))</f>
        <v>10</v>
      </c>
      <c r="AC150" s="1162">
        <f>IF(VLOOKUP(Z150,Z98:AJ132,4,FALSE)=0,11,VLOOKUP(Z150,Z98:AJ132,4,FALSE))</f>
        <v>8</v>
      </c>
      <c r="AD150" s="1162">
        <f>IF(VLOOKUP(Z150,Z98:AJ132,5,FALSE)=0,11,VLOOKUP(Z150,Z98:AJ132,5,FALSE))</f>
        <v>9</v>
      </c>
      <c r="AE150" s="1162">
        <f>IF(VLOOKUP(Z150,Z98:AJ132,6,FALSE)=0,11,VLOOKUP(Z150,Z98:AJ132,6,FALSE))</f>
        <v>10</v>
      </c>
      <c r="AF150" s="1162">
        <f>IF(VLOOKUP(Z150,Z98:AJ132,7,FALSE)=0,11,VLOOKUP(Z150,Z98:AJ132,7,FALSE))</f>
        <v>9</v>
      </c>
      <c r="AG150" s="1162">
        <f>IF(VLOOKUP(Z150,Z98:AJ132,8,FALSE)=0,11,VLOOKUP(Z150,Z98:AJ132,8,FALSE))</f>
        <v>8</v>
      </c>
      <c r="AH150" s="1162">
        <f>IF(VLOOKUP(Z150,Z98:AJ132,9,FALSE)=0,11,VLOOKUP(Z150,Z98:AJ132,9,FALSE))</f>
        <v>8</v>
      </c>
      <c r="AI150" s="1162">
        <f>IF(VLOOKUP(Z150,Z98:AJ132,10,FALSE)=0,11,VLOOKUP(Z150,Z98:AJ132,10,FALSE))</f>
        <v>8</v>
      </c>
      <c r="AJ150" s="1162">
        <f>IF(VLOOKUP(Z150,Z98:AK132,11,FALSE)=0,11,VLOOKUP(Z150,Z98:AK132,11,FALSE))</f>
        <v>8</v>
      </c>
      <c r="AK150" s="1162">
        <f>IF(VLOOKUP(AA150,AA98:AK132,11,FALSE)=0,11,VLOOKUP(AA150,AA98:AK132,11,FALSE))</f>
        <v>8</v>
      </c>
      <c r="AL150" s="1162"/>
      <c r="AM150" s="1162"/>
      <c r="AN150" s="1162"/>
      <c r="AO150" s="1162"/>
      <c r="AP150" s="1162" t="str">
        <f>IF(Y98&lt;BD$133,VLOOKUP(Y98,BD$98:BE$132,2,FALSE),"")</f>
        <v>Audio-visual technology</v>
      </c>
      <c r="AQ150" s="1162">
        <f>IF(VLOOKUP(AP150,AP98:AZ132,2,FALSE)=0,"",VLOOKUP(AP150,AP98:AZ132,2,FALSE))</f>
        <v>5</v>
      </c>
      <c r="AR150" s="1162">
        <f>IF(VLOOKUP(AP150,AP98:AZ132,3,FALSE)=0,11,VLOOKUP(AP150,AP98:AZ132,3,FALSE))</f>
        <v>5</v>
      </c>
      <c r="AS150" s="1162">
        <f>IF(VLOOKUP(AP150,AP98:AZ132,4,FALSE)=0,11,VLOOKUP(AP150,AP98:AZ132,4,FALSE))</f>
        <v>9</v>
      </c>
      <c r="AT150" s="1162">
        <f>IF(VLOOKUP(AP150,AP98:AZ132,5,FALSE)=0,11,VLOOKUP(AP150,AP98:AZ132,5,FALSE))</f>
        <v>9</v>
      </c>
      <c r="AU150" s="1162">
        <f>IF(VLOOKUP(AP150,AP98:AZ132,6,FALSE)=0,11,VLOOKUP(AP150,AP98:AZ132,6,FALSE))</f>
        <v>8</v>
      </c>
      <c r="AV150" s="1162">
        <f>IF(VLOOKUP(AP150,AP98:AZ132,7,FALSE)=0,11,VLOOKUP(AP150,AP98:AZ132,7,FALSE))</f>
        <v>9</v>
      </c>
      <c r="AW150" s="1162">
        <f>IF(VLOOKUP(AP150,AP98:AZ132,8,FALSE)=0,11,VLOOKUP(AP150,AP98:AZ132,7,FALSE))</f>
        <v>9</v>
      </c>
      <c r="AX150" s="1162">
        <f>IF(VLOOKUP(AP150,AP98:AZ132,9,FALSE)=0,11,VLOOKUP(AP150,AP98:AZ132,9,FALSE))</f>
        <v>10</v>
      </c>
      <c r="AY150" s="1162">
        <f>IF(VLOOKUP(AP150,AP98:AZ132,10,FALSE)=0,11,VLOOKUP(AP150,AP98:AZ132,10,FALSE))</f>
        <v>10</v>
      </c>
      <c r="AZ150" s="1163">
        <f>IF(VLOOKUP(AP150,AP98:AZ132,11,FALSE)=0,11,VLOOKUP(AP150,AP98:AZ132,11,FALSE))</f>
        <v>9</v>
      </c>
      <c r="BA150" s="1162"/>
      <c r="BB150" s="1162"/>
      <c r="BC150" s="1162"/>
      <c r="BD150" s="1162"/>
      <c r="BE150" s="1162" t="str">
        <f>IF(Y98&lt;BT$133,VLOOKUP(Y98,BT$98:BU$132,2,FALSE),"")</f>
        <v>Measurement</v>
      </c>
      <c r="BF150" s="1162">
        <f>IF(VLOOKUP(BE150,BE98:BO132,2,FALSE)=0,BR133,VLOOKUP(BE150,BE98:BO132,2,FALSE))</f>
        <v>9</v>
      </c>
      <c r="BG150" s="1162">
        <f>IF(VLOOKUP(BE150,BE98:BO132,3,FALSE)=0,BR133,VLOOKUP(BE150,BE98:BO132,3,FALSE))</f>
        <v>7</v>
      </c>
      <c r="BH150" s="1162">
        <f>IF(VLOOKUP(BE150,BE98:BO132,4,FALSE)=0,BR133,VLOOKUP(BE150,BE98:BO132,4,FALSE))</f>
        <v>7</v>
      </c>
      <c r="BI150" s="1162">
        <f>IF(VLOOKUP(BE150,BE98:BO132,5,FALSE)=0,BR133,VLOOKUP(BE150,BE98:BO132,5,FALSE))</f>
        <v>8</v>
      </c>
      <c r="BJ150" s="1162">
        <f>IF(VLOOKUP(BE150,BE98:BO132,6,FALSE)=0,BR133,VLOOKUP(BE150,BE98:BO132,6,FALSE))</f>
        <v>8</v>
      </c>
      <c r="BK150" s="1162">
        <f>IF(VLOOKUP(BE150,BE98:BO132,7,FALSE)=0,BR133,VLOOKUP(BE150,BE98:BO132,7,FALSE))</f>
        <v>10</v>
      </c>
      <c r="BL150" s="1162">
        <f>IF(VLOOKUP(BE150,BE98:BO132,8,FALSE)=0,BR133,VLOOKUP(BE150,BE98:BO132,8,FALSE))</f>
        <v>10</v>
      </c>
      <c r="BM150" s="1162">
        <f>IF(VLOOKUP(BE150,BE98:BO132,9,FALSE)=0,BR133,VLOOKUP(BE150,BE98:BO132,9,FALSE))</f>
        <v>10</v>
      </c>
      <c r="BN150" s="1162">
        <f>IF(VLOOKUP(BE150,BE98:BO132,10,FALSE)=0,BR133,VLOOKUP(BE150,BE98:BO132,10,FALSE))</f>
        <v>10</v>
      </c>
      <c r="BO150" s="1162">
        <f>IF(VLOOKUP(BE150,BE98:BO132,11,FALSE)=0,BR133,VLOOKUP(BE150,BE98:BO132,11,FALSE))</f>
        <v>7</v>
      </c>
      <c r="BP150" s="1162">
        <f>IF(VLOOKUP(BF150,BF98:BP132,11,FALSE)=0,BS133,VLOOKUP(BF150,BF98:BP132,11,FALSE))</f>
        <v>8</v>
      </c>
      <c r="BQ150" s="1162"/>
      <c r="BR150" s="1162"/>
      <c r="BS150" s="1162"/>
      <c r="BT150" s="1162"/>
      <c r="BU150" s="1163" t="str">
        <f>IF(Y98&lt;CJ$133,VLOOKUP(Y98,CJ$98:CK$132,2,FALSE),"")</f>
        <v>Digital communication</v>
      </c>
      <c r="BV150" s="1162">
        <f t="shared" ref="BV150:BV168" si="30">IF(VLOOKUP($BU150,$BU$98:$CE$132,2,FALSE)=0,$CH$134,VLOOKUP($BU150,$BU$98:$CE$132,2,FALSE))</f>
        <v>4</v>
      </c>
      <c r="BW150" s="1162">
        <f t="shared" ref="BW150:BW168" si="31">IF(VLOOKUP($BU150,$BU$98:$CE$132,3,FALSE)=0,$CH$134,VLOOKUP($BU150,$BU$98:$CE$132,3,FALSE))</f>
        <v>4</v>
      </c>
      <c r="BX150" s="1162">
        <f t="shared" ref="BX150:BX168" si="32">IF(VLOOKUP($BU150,$BU$98:$CE$132,4,FALSE)=0,$CH$134,VLOOKUP($BU150,$BU$98:$CE$132,4,FALSE))</f>
        <v>9</v>
      </c>
      <c r="BY150" s="1162">
        <f t="shared" ref="BY150:BY168" si="33">IF(VLOOKUP($BU150,$BU$98:$CE$132,5,FALSE)=0,$CH$134,VLOOKUP($BU150,$BU$98:$CE$132,5,FALSE))</f>
        <v>11</v>
      </c>
      <c r="BZ150" s="1162">
        <f t="shared" ref="BZ150:BZ168" si="34">IF(VLOOKUP($BU150,$BU$98:$CE$132,6,FALSE)=0,$CH$134,VLOOKUP($BU150,$BU$98:$CE$132,6,FALSE))</f>
        <v>9</v>
      </c>
      <c r="CA150" s="1162">
        <f t="shared" ref="CA150:CA168" si="35">IF(VLOOKUP($BU150,$BU$98:$CE$132,7,FALSE)=0,$CH$134,VLOOKUP($BU150,$BU$98:$CE$132,7,FALSE))</f>
        <v>9</v>
      </c>
      <c r="CB150" s="1162">
        <f t="shared" ref="CB150:CB168" si="36">IF(VLOOKUP($BU150,$BU$98:$CE$132,8,FALSE)=0,$CH$134,VLOOKUP($BU150,$BU$98:$CE$132,8,FALSE))</f>
        <v>9</v>
      </c>
      <c r="CC150" s="1162">
        <f t="shared" ref="CC150:CC168" si="37">IF(VLOOKUP($BU150,$BU$98:$CE$132,9,FALSE)=0,$CH$134,VLOOKUP($BU150,$BU$98:$CE$132,9,FALSE))</f>
        <v>7</v>
      </c>
      <c r="CD150" s="1162">
        <f t="shared" ref="CD150:CD168" si="38">IF(VLOOKUP($BU150,$BU$98:$CE$132,10,FALSE)=0,$CH$134,VLOOKUP($BU150,$BU$98:$CE$132,10,FALSE))</f>
        <v>8</v>
      </c>
      <c r="CE150" s="1162">
        <f t="shared" ref="CE150:CE168" si="39">IF(VLOOKUP($BU150,$BU$98:$CE$132,11,FALSE)=0,$CH$134,VLOOKUP($BU150,$BU$98:$CE$132,11,FALSE))</f>
        <v>6</v>
      </c>
      <c r="CF150" s="1162" cm="1">
        <f t="array" ref="CF150">IF(VLOOKUP($BU150,$BU$98:$CF$132,11,FALSE)=0,$BU$98:$CF$132,VLOOKUP($BU150,$BU$98:$CF$132,11,FALSE))</f>
        <v>6</v>
      </c>
      <c r="CG150" s="1162"/>
      <c r="CH150" s="1162"/>
      <c r="CI150" s="1162"/>
      <c r="CJ150" s="1162"/>
      <c r="CK150" s="1162" t="str">
        <f>IF(Y98&lt;CZ$133,VLOOKUP(Y98,CZ$98:DA$132,2,FALSE),"")</f>
        <v>IT methods for management</v>
      </c>
      <c r="CL150" s="1162">
        <f>IF(VLOOKUP(CK150,CK98:CU132,2,FALSE)=0,CX133,VLOOKUP(CK150,CK98:CU132,2,FALSE))</f>
        <v>8</v>
      </c>
      <c r="CM150" s="1162">
        <f>IF(VLOOKUP(CK150,CK98:CU132,3,FALSE)=0,CX133,VLOOKUP(CK150,CK98:CU132,3,FALSE))</f>
        <v>7</v>
      </c>
      <c r="CN150" s="1162">
        <f>IF(VLOOKUP(CK150,CK98:CU132,4,FALSE)=0,CX133,VLOOKUP(CK150,CK98:CU132,4,FALSE))</f>
        <v>8</v>
      </c>
      <c r="CO150" s="1162">
        <f>IF(VLOOKUP(CK150,CK98:CU132,5,FALSE)=0,CX133,VLOOKUP(CK150,CK98:CU132,5,FALSE))</f>
        <v>7</v>
      </c>
      <c r="CP150" s="1162">
        <f>IF(VLOOKUP(CK150,CK98:CU132,6,FALSE)=0,CX133,VLOOKUP(CK150,CK98:CU132,6,FALSE))</f>
        <v>9</v>
      </c>
      <c r="CQ150" s="1162">
        <f>IF(VLOOKUP(CK150,CK98:CU132,7,FALSE)=0,CX133,VLOOKUP(CK150,CK98:CU132,7,FALSE))</f>
        <v>9</v>
      </c>
      <c r="CR150" s="1162">
        <f>IF(VLOOKUP(CK150,CK98:CU132,8,FALSE)=0,CX133,VLOOKUP(CK150,CK98:CU132,8,FALSE))</f>
        <v>9</v>
      </c>
      <c r="CS150" s="1162">
        <f>IF(VLOOKUP(CK150,CK98:CU132,9,FALSE)=0,CX133,VLOOKUP(CK150,CK98:CU132,9,FALSE))</f>
        <v>9</v>
      </c>
      <c r="CT150" s="1162">
        <f>IF(VLOOKUP(CK150,CK98:CU132,10,FALSE)=0,CX133,VLOOKUP(CK150,CK98:CU132,10,FALSE))</f>
        <v>8</v>
      </c>
      <c r="CU150" s="1162">
        <f>IF(VLOOKUP(CK150,CK98:CU132,11,FALSE)=0,CX133,VLOOKUP(CK150,CK98:CU132,11,FALSE))</f>
        <v>8</v>
      </c>
      <c r="CV150" s="1162">
        <f>IF(VLOOKUP(CL150,CL98:CV132,11,FALSE)=0,CY133,VLOOKUP(CL150,CL98:CV132,11,FALSE))</f>
        <v>9</v>
      </c>
      <c r="CW150" s="1162"/>
      <c r="CX150" s="1162"/>
      <c r="CY150" s="1162"/>
      <c r="CZ150" s="834"/>
      <c r="DA150" s="834"/>
      <c r="DB150" s="834"/>
      <c r="DC150" s="834"/>
      <c r="DD150" s="839"/>
      <c r="DE150" s="1098"/>
      <c r="DF150" s="1098"/>
      <c r="DG150" s="1098"/>
      <c r="DH150" s="1098"/>
      <c r="DI150" s="1098"/>
      <c r="DJ150" s="1098"/>
      <c r="DK150" s="1098"/>
      <c r="DL150" s="1098"/>
      <c r="DM150" s="1098"/>
      <c r="DN150" s="1098"/>
      <c r="DO150" s="1098"/>
    </row>
    <row r="151" spans="25:119" s="1086" customFormat="1">
      <c r="Y151" s="1113">
        <f t="shared" si="23"/>
        <v>2</v>
      </c>
      <c r="Z151" s="1162" t="str">
        <f t="shared" ref="Z151:Z168" si="40">IF(Y99&lt;AO$133,VLOOKUP(Y99,AO$98:AP$132,2,FALSE),"")</f>
        <v>Organic fine chemistry</v>
      </c>
      <c r="AA151" s="1162">
        <f>IF(VLOOKUP(Z151,Z98:AJ132,2,FALSE)=0,11,VLOOKUP(Z151,Z98:AJ132,2,FALSE))</f>
        <v>7</v>
      </c>
      <c r="AB151" s="1162">
        <f>IF(VLOOKUP(Z151,Z98:AJ132,3,FALSE)=0,11,VLOOKUP(Z151,Z98:AJ132,3,FALSE))</f>
        <v>7</v>
      </c>
      <c r="AC151" s="1162">
        <f>IF(VLOOKUP(Z151,Z98:AJ132,4,FALSE)=0,11,VLOOKUP(Z151,Z98:AJ132,4,FALSE))</f>
        <v>7</v>
      </c>
      <c r="AD151" s="1162">
        <f>IF(VLOOKUP(Z151,Z98:AJ132,5,FALSE)=0,11,VLOOKUP(Z151,Z98:AJ132,5,FALSE))</f>
        <v>7</v>
      </c>
      <c r="AE151" s="1162">
        <f>IF(VLOOKUP(Z151,Z98:AJ132,6,FALSE)=0,11,VLOOKUP(Z151,Z98:AJ132,6,FALSE))</f>
        <v>8</v>
      </c>
      <c r="AF151" s="1162">
        <f>IF(VLOOKUP(Z151,Z98:AJ132,7,FALSE)=0,11,VLOOKUP(Z151,Z98:AJ132,7,FALSE))</f>
        <v>7</v>
      </c>
      <c r="AG151" s="1162">
        <f>IF(VLOOKUP(Z151,Z98:AJ132,8,FALSE)=0,11,VLOOKUP(Z151,Z98:AJ132,8,FALSE))</f>
        <v>10</v>
      </c>
      <c r="AH151" s="1162">
        <f>IF(VLOOKUP(Z151,Z98:AJ132,9,FALSE)=0,11,VLOOKUP(Z151,Z98:AJ132,9,FALSE))</f>
        <v>10</v>
      </c>
      <c r="AI151" s="1162">
        <f>IF(VLOOKUP(Z151,Z98:AJ132,10,FALSE)=0,11,VLOOKUP(Z151,Z98:AJ132,10,FALSE))</f>
        <v>10</v>
      </c>
      <c r="AJ151" s="1162">
        <f>IF(VLOOKUP(Z151,Z98:AJ132,11,FALSE)=0,11,VLOOKUP(Z151,Z98:AJ132,11,FALSE))</f>
        <v>10</v>
      </c>
      <c r="AK151" s="1162">
        <f t="shared" ref="AK151:AK160" si="41">IF(VLOOKUP(AA151,AA99:AK133,11,FALSE)=0,11,VLOOKUP(AA151,AA99:AK133,11,FALSE))</f>
        <v>10</v>
      </c>
      <c r="AL151" s="1162"/>
      <c r="AM151" s="1162"/>
      <c r="AN151" s="1162"/>
      <c r="AO151" s="1162"/>
      <c r="AP151" s="1162" t="str">
        <f t="shared" ref="AP151:AP168" si="42">IF(Y99&lt;BD$133,VLOOKUP(Y99,BD$98:BE$132,2,FALSE),"")</f>
        <v>Semiconductors</v>
      </c>
      <c r="AQ151" s="1162">
        <f>IF(VLOOKUP(AP151,AP98:AZ132,2,FALSE)=0,"",VLOOKUP(AP151,AP98:AZ132,2,FALSE))</f>
        <v>4</v>
      </c>
      <c r="AR151" s="1162">
        <f>IF(VLOOKUP(AP151,AP98:AZ132,3,FALSE)=0,11,VLOOKUP(AP151,AP98:AZ132,3,FALSE))</f>
        <v>4</v>
      </c>
      <c r="AS151" s="1162">
        <f>IF(VLOOKUP(AP151,AP98:AZ132,4,FALSE)=0,11,VLOOKUP(AP151,AP98:AZ132,4,FALSE))</f>
        <v>5</v>
      </c>
      <c r="AT151" s="1162">
        <f>IF(VLOOKUP(AP151,AP98:AZ132,5,FALSE)=0,11,VLOOKUP(AP151,AP98:AZ132,5,FALSE))</f>
        <v>8</v>
      </c>
      <c r="AU151" s="1162">
        <f>IF(VLOOKUP(AP151,AP98:AZ132,6,FALSE)=0,11,VLOOKUP(AP151,AP98:AZ132,6,FALSE))</f>
        <v>9</v>
      </c>
      <c r="AV151" s="1162">
        <f>IF(VLOOKUP(AP151,AP98:AZ132,7,FALSE)=0,11,VLOOKUP(AP151,AP98:AZ132,7,FALSE))</f>
        <v>8</v>
      </c>
      <c r="AW151" s="1162">
        <f>IF(VLOOKUP(AP151,AP98:AZ132,8,FALSE)=0,11,VLOOKUP(AP151,AP98:AZ132,7,FALSE))</f>
        <v>8</v>
      </c>
      <c r="AX151" s="1162">
        <f>IF(VLOOKUP(AP151,AP98:AZ132,9,FALSE)=0,11,VLOOKUP(AP151,AP98:AZ132,9,FALSE))</f>
        <v>8</v>
      </c>
      <c r="AY151" s="1162">
        <f>IF(VLOOKUP(AP151,AP98:AZ132,10,FALSE)=0,11,VLOOKUP(AP151,AP98:AZ132,10,FALSE))</f>
        <v>8</v>
      </c>
      <c r="AZ151" s="1163">
        <f>IF(VLOOKUP(AP151,AP98:AZ132,11,FALSE)=0,11,VLOOKUP(AP151,AP98:AZ132,11,FALSE))</f>
        <v>8</v>
      </c>
      <c r="BA151" s="1162"/>
      <c r="BB151" s="1162"/>
      <c r="BC151" s="1162"/>
      <c r="BD151" s="1162"/>
      <c r="BE151" s="1162" t="str">
        <f t="shared" ref="BE151:BE168" si="43">IF(Y99&lt;BT$133,VLOOKUP(Y99,BT$98:BU$132,2,FALSE),"")</f>
        <v>Other special machines</v>
      </c>
      <c r="BF151" s="1162">
        <f>IF(VLOOKUP(BE151,BE98:BO132,2,FALSE)=0,BR133,VLOOKUP(BE151,BE98:BO132,2,FALSE))</f>
        <v>13</v>
      </c>
      <c r="BG151" s="1162">
        <f>IF(VLOOKUP(BE151,BE98:BO132,3,FALSE)=0,BR133,VLOOKUP(BE151,BE98:BO132,3,FALSE))</f>
        <v>10</v>
      </c>
      <c r="BH151" s="1162">
        <f>IF(VLOOKUP(BE151,BE98:BO132,4,FALSE)=0,BR133,VLOOKUP(BE151,BE98:BO132,4,FALSE))</f>
        <v>10</v>
      </c>
      <c r="BI151" s="1162">
        <f>IF(VLOOKUP(BE151,BE98:BO132,5,FALSE)=0,BR133,VLOOKUP(BE151,BE98:BO132,5,FALSE))</f>
        <v>13</v>
      </c>
      <c r="BJ151" s="1162">
        <f>IF(VLOOKUP(BE151,BE98:BO132,6,FALSE)=0,BR133,VLOOKUP(BE151,BE98:BO132,6,FALSE))</f>
        <v>10</v>
      </c>
      <c r="BK151" s="1162">
        <f>IF(VLOOKUP(BE151,BE98:BO132,7,FALSE)=0,BR133,VLOOKUP(BE151,BE98:BO132,7,FALSE))</f>
        <v>9</v>
      </c>
      <c r="BL151" s="1162">
        <f>IF(VLOOKUP(BE151,BE98:BO132,8,FALSE)=0,BR133,VLOOKUP(BE151,BE98:BO132,8,FALSE))</f>
        <v>9</v>
      </c>
      <c r="BM151" s="1162">
        <f>IF(VLOOKUP(BE151,BE98:BO132,9,FALSE)=0,BR133,VLOOKUP(BE151,BE98:BO132,9,FALSE))</f>
        <v>9</v>
      </c>
      <c r="BN151" s="1162">
        <f>IF(VLOOKUP(BE151,BE98:BO132,10,FALSE)=0,BR133,VLOOKUP(BE151,BE98:BO132,10,FALSE))</f>
        <v>9</v>
      </c>
      <c r="BO151" s="1162">
        <f>IF(VLOOKUP(BE151,BE98:BO132,11,FALSE)=0,BR133,VLOOKUP(BE151,BE98:BO132,11,FALSE))</f>
        <v>10</v>
      </c>
      <c r="BP151" s="1162">
        <v>11</v>
      </c>
      <c r="BQ151" s="1162"/>
      <c r="BR151" s="1162"/>
      <c r="BS151" s="1162"/>
      <c r="BT151" s="1162"/>
      <c r="BU151" s="1163" t="str">
        <f t="shared" ref="BU151:BU173" si="44">IF(Y99&lt;CJ$133,VLOOKUP(Y99,CJ$98:CK$132,2,FALSE),"")</f>
        <v>Other special machines</v>
      </c>
      <c r="BV151" s="1162">
        <f t="shared" si="30"/>
        <v>11</v>
      </c>
      <c r="BW151" s="1162">
        <f t="shared" si="31"/>
        <v>9</v>
      </c>
      <c r="BX151" s="1162">
        <f t="shared" si="32"/>
        <v>8</v>
      </c>
      <c r="BY151" s="1162">
        <f t="shared" si="33"/>
        <v>7</v>
      </c>
      <c r="BZ151" s="1162">
        <f t="shared" si="34"/>
        <v>6</v>
      </c>
      <c r="CA151" s="1162">
        <f t="shared" si="35"/>
        <v>5</v>
      </c>
      <c r="CB151" s="1162">
        <f t="shared" si="36"/>
        <v>5</v>
      </c>
      <c r="CC151" s="1162">
        <f t="shared" si="37"/>
        <v>6</v>
      </c>
      <c r="CD151" s="1162">
        <f t="shared" si="38"/>
        <v>6</v>
      </c>
      <c r="CE151" s="1162">
        <f>IF(VLOOKUP($BU151,$BU$98:$CE$132,11,FALSE)=0,$CH$134,VLOOKUP($BU151,$BU$98:$CE$132,11,FALSE))</f>
        <v>10</v>
      </c>
      <c r="CF151" s="1162">
        <f>CF126</f>
        <v>11</v>
      </c>
      <c r="CG151" s="1162"/>
      <c r="CH151" s="1162"/>
      <c r="CI151" s="1162"/>
      <c r="CJ151" s="1162"/>
      <c r="CK151" s="1162" t="str">
        <f t="shared" ref="CK151:CK168" si="45">IF(Y99&lt;CZ$133,VLOOKUP(Y99,CZ$98:DA$132,2,FALSE),"")</f>
        <v>Measurement</v>
      </c>
      <c r="CL151" s="1162">
        <f>IF(VLOOKUP(CK151,CK98:CU132,2,FALSE)=0,CX133,VLOOKUP(CK151,CK98:CU132,2,FALSE))</f>
        <v>10</v>
      </c>
      <c r="CM151" s="1162">
        <f>IF(VLOOKUP(CK151,CK98:CU132,3,FALSE)=0,CX133,VLOOKUP(CK151,CK98:CU132,3,FALSE))</f>
        <v>8</v>
      </c>
      <c r="CN151" s="1162">
        <f>IF(VLOOKUP(CK151,CK98:CU132,4,FALSE)=0,CX133,VLOOKUP(CK151,CK98:CU132,4,FALSE))</f>
        <v>7</v>
      </c>
      <c r="CO151" s="1162">
        <f>IF(VLOOKUP(CK151,CK98:CU132,5,FALSE)=0,CX133,VLOOKUP(CK151,CK98:CU132,5,FALSE))</f>
        <v>8</v>
      </c>
      <c r="CP151" s="1162">
        <f>IF(VLOOKUP(CK151,CK98:CU132,6,FALSE)=0,CX133,VLOOKUP(CK151,CK98:CU132,6,FALSE))</f>
        <v>8</v>
      </c>
      <c r="CQ151" s="1162">
        <f>IF(VLOOKUP(CK151,CK98:CU132,7,FALSE)=0,CX133,VLOOKUP(CK151,CK98:CU132,7,FALSE))</f>
        <v>8</v>
      </c>
      <c r="CR151" s="1162">
        <f>IF(VLOOKUP(CK151,CK98:CU132,8,FALSE)=0,CX133,VLOOKUP(CK151,CK98:CU132,8,FALSE))</f>
        <v>8</v>
      </c>
      <c r="CS151" s="1162">
        <f>IF(VLOOKUP(CK151,CK98:CU132,9,FALSE)=0,CX133,VLOOKUP(CK151,CK98:CU132,9,FALSE))</f>
        <v>8</v>
      </c>
      <c r="CT151" s="1162">
        <f>IF(VLOOKUP(CK151,CK98:CU132,10,FALSE)=0,CX133,VLOOKUP(CK151,CK98:CU132,10,FALSE))</f>
        <v>9</v>
      </c>
      <c r="CU151" s="1162">
        <f>IF(VLOOKUP(CK151,CK98:CU132,11,FALSE)=0,CX133,VLOOKUP(CK151,CK98:CU132,11,FALSE))</f>
        <v>9</v>
      </c>
      <c r="CV151" s="1162">
        <f t="shared" ref="CV151:CV158" si="46">IF(VLOOKUP(CL151,CL99:CV133,11,FALSE)=0,CY134,VLOOKUP(CL151,CL99:CV133,11,FALSE))</f>
        <v>7</v>
      </c>
      <c r="CW151" s="1162"/>
      <c r="CX151" s="1162"/>
      <c r="CY151" s="1162"/>
      <c r="CZ151" s="834"/>
      <c r="DA151" s="834"/>
      <c r="DB151" s="834"/>
      <c r="DC151" s="834"/>
      <c r="DD151" s="839"/>
      <c r="DE151" s="1098"/>
      <c r="DF151" s="1098"/>
      <c r="DG151" s="1098"/>
      <c r="DH151" s="1098"/>
      <c r="DI151" s="1098"/>
      <c r="DJ151" s="1098"/>
      <c r="DK151" s="1098"/>
      <c r="DL151" s="1098"/>
      <c r="DM151" s="1098"/>
      <c r="DN151" s="1098"/>
      <c r="DO151" s="1098"/>
    </row>
    <row r="152" spans="25:119" s="1086" customFormat="1">
      <c r="Y152" s="1113">
        <f t="shared" si="23"/>
        <v>3</v>
      </c>
      <c r="Z152" s="1162" t="str">
        <f t="shared" si="40"/>
        <v>Pharmaceuticals</v>
      </c>
      <c r="AA152" s="1162">
        <f>IF(VLOOKUP(Z152,Z98:AJ132,2,FALSE)=0,11,VLOOKUP(Z152,Z98:AJ132,2,FALSE))</f>
        <v>8</v>
      </c>
      <c r="AB152" s="1162">
        <f>IF(VLOOKUP(Z152,Z98:AJ132,3,FALSE)=0,11,VLOOKUP(Z152,Z98:AJ132,3,FALSE))</f>
        <v>9</v>
      </c>
      <c r="AC152" s="1162">
        <f>IF(VLOOKUP(Z152,Z98:AJ132,4,FALSE)=0,11,VLOOKUP(Z152,Z98:AJ132,4,FALSE))</f>
        <v>10</v>
      </c>
      <c r="AD152" s="1162">
        <f>IF(VLOOKUP(Z152,Z98:AJ132,5,FALSE)=0,11,VLOOKUP(Z152,Z98:AJ132,5,FALSE))</f>
        <v>10</v>
      </c>
      <c r="AE152" s="1162">
        <f>IF(VLOOKUP(Z152,Z98:AJ132,6,FALSE)=0,11,VLOOKUP(Z152,Z98:AJ132,6,FALSE))</f>
        <v>9</v>
      </c>
      <c r="AF152" s="1162">
        <f>IF(VLOOKUP(Z152,Z98:AJ132,7,FALSE)=0,11,VLOOKUP(Z152,Z98:AJ132,7,FALSE))</f>
        <v>8</v>
      </c>
      <c r="AG152" s="1162">
        <f>IF(VLOOKUP(Z152,Z98:AJ132,8,FALSE)=0,11,VLOOKUP(Z152,Z98:AJ132,8,FALSE))</f>
        <v>7</v>
      </c>
      <c r="AH152" s="1162">
        <f>IF(VLOOKUP(Z152,Z98:AJ132,9,FALSE)=0,11,VLOOKUP(Z152,Z98:AJ132,9,FALSE))</f>
        <v>7</v>
      </c>
      <c r="AI152" s="1162">
        <f>IF(VLOOKUP(Z152,Z98:AJ132,10,FALSE)=0,11,VLOOKUP(Z152,Z98:AJ132,10,FALSE))</f>
        <v>7</v>
      </c>
      <c r="AJ152" s="1162">
        <f>IF(VLOOKUP(Z152,Z98:AJ132,11,FALSE)=0,11,VLOOKUP(Z152,Z98:AJ132,11,FALSE))</f>
        <v>7</v>
      </c>
      <c r="AK152" s="1162">
        <f t="shared" si="41"/>
        <v>7</v>
      </c>
      <c r="AL152" s="1162"/>
      <c r="AM152" s="1162"/>
      <c r="AN152" s="1162"/>
      <c r="AO152" s="1162"/>
      <c r="AP152" s="1162" t="str">
        <f t="shared" si="42"/>
        <v>Transport</v>
      </c>
      <c r="AQ152" s="1162">
        <f>IF(VLOOKUP(AP152,AP98:AZ132,2,FALSE)=0,"",VLOOKUP(AP152,AP98:AZ132,2,FALSE))</f>
        <v>7</v>
      </c>
      <c r="AR152" s="1162">
        <f>IF(VLOOKUP(AP152,AP98:AZ132,3,FALSE)=0,11,VLOOKUP(AP152,AP98:AZ132,3,FALSE))</f>
        <v>7</v>
      </c>
      <c r="AS152" s="1162">
        <f>IF(VLOOKUP(AP152,AP98:AZ132,4,FALSE)=0,11,VLOOKUP(AP152,AP98:AZ132,4,FALSE))</f>
        <v>8</v>
      </c>
      <c r="AT152" s="1162">
        <f>IF(VLOOKUP(AP152,AP98:AZ132,5,FALSE)=0,11,VLOOKUP(AP152,AP98:AZ132,5,FALSE))</f>
        <v>7</v>
      </c>
      <c r="AU152" s="1162">
        <f>IF(VLOOKUP(AP152,AP98:AZ132,6,FALSE)=0,11,VLOOKUP(AP152,AP98:AZ132,6,FALSE))</f>
        <v>7</v>
      </c>
      <c r="AV152" s="1162">
        <f>IF(VLOOKUP(AP152,AP98:AZ132,7,FALSE)=0,11,VLOOKUP(AP152,AP98:AZ132,7,FALSE))</f>
        <v>7</v>
      </c>
      <c r="AW152" s="1162">
        <f>IF(VLOOKUP(AP152,AP98:AZ132,8,FALSE)=0,11,VLOOKUP(AP152,AP98:AZ132,7,FALSE))</f>
        <v>7</v>
      </c>
      <c r="AX152" s="1162">
        <f>IF(VLOOKUP(AP152,AP98:AZ132,9,FALSE)=0,11,VLOOKUP(AP152,AP98:AZ132,9,FALSE))</f>
        <v>7</v>
      </c>
      <c r="AY152" s="1162">
        <f>IF(VLOOKUP(AP152,AP98:AZ132,10,FALSE)=0,11,VLOOKUP(AP152,AP98:AZ132,10,FALSE))</f>
        <v>7</v>
      </c>
      <c r="AZ152" s="1163">
        <f>IF(VLOOKUP(AP152,AP98:AZ132,11,FALSE)=0,11,VLOOKUP(AP152,AP98:AZ132,11,FALSE))</f>
        <v>6</v>
      </c>
      <c r="BA152" s="1162"/>
      <c r="BB152" s="1162"/>
      <c r="BC152" s="1162"/>
      <c r="BD152" s="1162"/>
      <c r="BE152" s="1162" t="str">
        <f t="shared" si="43"/>
        <v>Digital communication</v>
      </c>
      <c r="BF152" s="1162">
        <f>IF(VLOOKUP(BE152,BE98:BO132,2,FALSE)=0,BR133,VLOOKUP(BE152,BE98:BO132,2,FALSE))</f>
        <v>6</v>
      </c>
      <c r="BG152" s="1162">
        <f>IF(VLOOKUP(BE152,BE98:BO132,3,FALSE)=0,BR133,VLOOKUP(BE152,BE98:BO132,3,FALSE))</f>
        <v>6</v>
      </c>
      <c r="BH152" s="1162">
        <f>IF(VLOOKUP(BE152,BE98:BO132,4,FALSE)=0,BR133,VLOOKUP(BE152,BE98:BO132,4,FALSE))</f>
        <v>5</v>
      </c>
      <c r="BI152" s="1162">
        <f>IF(VLOOKUP(BE152,BE98:BO132,5,FALSE)=0,BR133,VLOOKUP(BE152,BE98:BO132,5,FALSE))</f>
        <v>7</v>
      </c>
      <c r="BJ152" s="1162">
        <f>IF(VLOOKUP(BE152,BE98:BO132,6,FALSE)=0,BR133,VLOOKUP(BE152,BE98:BO132,6,FALSE))</f>
        <v>7</v>
      </c>
      <c r="BK152" s="1162">
        <f>IF(VLOOKUP(BE152,BE98:BO132,7,FALSE)=0,BR133,VLOOKUP(BE152,BE98:BO132,7,FALSE))</f>
        <v>7</v>
      </c>
      <c r="BL152" s="1162">
        <f>IF(VLOOKUP(BE152,BE98:BO132,8,FALSE)=0,BR133,VLOOKUP(BE152,BE98:BO132,8,FALSE))</f>
        <v>8</v>
      </c>
      <c r="BM152" s="1162">
        <f>IF(VLOOKUP(BE152,BE98:BO132,9,FALSE)=0,BR133,VLOOKUP(BE152,BE98:BO132,9,FALSE))</f>
        <v>5</v>
      </c>
      <c r="BN152" s="1162">
        <f>IF(VLOOKUP(BE152,BE98:BO132,10,FALSE)=0,BR133,VLOOKUP(BE152,BE98:BO132,10,FALSE))</f>
        <v>8</v>
      </c>
      <c r="BO152" s="1162">
        <f>IF(VLOOKUP(BE152,BE98:BO132,11,FALSE)=0,BR133,VLOOKUP(BE152,BE98:BO132,11,FALSE))</f>
        <v>8</v>
      </c>
      <c r="BP152" s="1162">
        <f t="shared" ref="BP152:BP157" si="47">IF(VLOOKUP(BF152,BF100:BP134,11,FALSE)=0,BS135,VLOOKUP(BF152,BF100:BP134,11,FALSE))</f>
        <v>7</v>
      </c>
      <c r="BQ152" s="1162"/>
      <c r="BR152" s="1162"/>
      <c r="BS152" s="1162"/>
      <c r="BT152" s="1162"/>
      <c r="BU152" s="1163" t="str">
        <f t="shared" si="44"/>
        <v>Civil engineering</v>
      </c>
      <c r="BV152" s="1162">
        <f t="shared" si="30"/>
        <v>7</v>
      </c>
      <c r="BW152" s="1162">
        <f t="shared" si="31"/>
        <v>8</v>
      </c>
      <c r="BX152" s="1162">
        <f t="shared" si="32"/>
        <v>11</v>
      </c>
      <c r="BY152" s="1162">
        <f t="shared" si="33"/>
        <v>9</v>
      </c>
      <c r="BZ152" s="1162">
        <f t="shared" si="34"/>
        <v>7</v>
      </c>
      <c r="CA152" s="1162">
        <f t="shared" si="35"/>
        <v>10</v>
      </c>
      <c r="CB152" s="1162">
        <f t="shared" si="36"/>
        <v>10</v>
      </c>
      <c r="CC152" s="1162">
        <f t="shared" si="37"/>
        <v>4</v>
      </c>
      <c r="CD152" s="1162">
        <f t="shared" si="38"/>
        <v>4</v>
      </c>
      <c r="CE152" s="1162">
        <f t="shared" si="39"/>
        <v>11</v>
      </c>
      <c r="CF152" s="1162">
        <f>CF132</f>
        <v>6</v>
      </c>
      <c r="CG152" s="1162"/>
      <c r="CH152" s="1162"/>
      <c r="CI152" s="1162"/>
      <c r="CJ152" s="1162"/>
      <c r="CK152" s="1162" t="str">
        <f t="shared" si="45"/>
        <v>Audio-visual technology</v>
      </c>
      <c r="CL152" s="1162">
        <f>IF(VLOOKUP(CK152,CK98:CU132,2,FALSE)=0,CX133,VLOOKUP(CK152,CK98:CU132,2,FALSE))</f>
        <v>3</v>
      </c>
      <c r="CM152" s="1162">
        <f>IF(VLOOKUP(CK152,CK98:CU132,3,FALSE)=0,CX133,VLOOKUP(CK152,CK98:CU132,3,FALSE))</f>
        <v>5</v>
      </c>
      <c r="CN152" s="1162">
        <f>IF(VLOOKUP(CK152,CK98:CU132,4,FALSE)=0,CX133,VLOOKUP(CK152,CK98:CU132,4,FALSE))</f>
        <v>6</v>
      </c>
      <c r="CO152" s="1162">
        <f>IF(VLOOKUP(CK152,CK98:CU132,5,FALSE)=0,CX133,VLOOKUP(CK152,CK98:CU132,5,FALSE))</f>
        <v>6</v>
      </c>
      <c r="CP152" s="1162">
        <f>IF(VLOOKUP(CK152,CK98:CU132,6,FALSE)=0,CX133,VLOOKUP(CK152,CK98:CU132,6,FALSE))</f>
        <v>6</v>
      </c>
      <c r="CQ152" s="1162">
        <f>IF(VLOOKUP(CK152,CK98:CU132,7,FALSE)=0,CX133,VLOOKUP(CK152,CK98:CU132,7,FALSE))</f>
        <v>6</v>
      </c>
      <c r="CR152" s="1162">
        <f>IF(VLOOKUP(CK152,CK98:CU132,8,FALSE)=0,CX133,VLOOKUP(CK152,CK98:CU132,8,FALSE))</f>
        <v>6</v>
      </c>
      <c r="CS152" s="1162">
        <f>IF(VLOOKUP(CK152,CK98:CU132,9,FALSE)=0,CX133,VLOOKUP(CK152,CK98:CU132,9,FALSE))</f>
        <v>6</v>
      </c>
      <c r="CT152" s="1162">
        <f>IF(VLOOKUP(CK152,CK98:CU132,10,FALSE)=0,CX133,VLOOKUP(CK152,CK98:CU132,10,FALSE))</f>
        <v>7</v>
      </c>
      <c r="CU152" s="1162">
        <f>IF(VLOOKUP(CK152,CK98:CU132,11,FALSE)=0,CX133,VLOOKUP(CK152,CK98:CU132,11,FALSE))</f>
        <v>7</v>
      </c>
      <c r="CV152" s="1162">
        <v>8</v>
      </c>
      <c r="CW152" s="1162"/>
      <c r="CX152" s="1162"/>
      <c r="CY152" s="1162"/>
      <c r="CZ152" s="834"/>
      <c r="DA152" s="834"/>
      <c r="DB152" s="834"/>
      <c r="DC152" s="834"/>
      <c r="DD152" s="839"/>
      <c r="DE152" s="1098"/>
      <c r="DF152" s="1098"/>
      <c r="DG152" s="1098"/>
      <c r="DH152" s="1098"/>
      <c r="DI152" s="1098"/>
      <c r="DJ152" s="1098"/>
      <c r="DK152" s="1098"/>
      <c r="DL152" s="1098"/>
      <c r="DM152" s="1098"/>
      <c r="DN152" s="1098"/>
      <c r="DO152" s="1098"/>
    </row>
    <row r="153" spans="25:119" s="1086" customFormat="1">
      <c r="Y153" s="1113">
        <f t="shared" si="23"/>
        <v>4</v>
      </c>
      <c r="Z153" s="1162" t="str">
        <f t="shared" si="40"/>
        <v>Measurement</v>
      </c>
      <c r="AA153" s="1162">
        <f>IF(VLOOKUP(Z153,Z98:AJ132,2,FALSE)=0,11,VLOOKUP(Z153,Z98:AJ132,2,FALSE))</f>
        <v>6</v>
      </c>
      <c r="AB153" s="1162">
        <f>IF(VLOOKUP(Z153,Z98:AJ132,3,FALSE)=0,11,VLOOKUP(Z153,Z98:AJ132,3,FALSE))</f>
        <v>6</v>
      </c>
      <c r="AC153" s="1162">
        <f>IF(VLOOKUP(Z153,Z98:AJ132,4,FALSE)=0,11,VLOOKUP(Z153,Z98:AJ132,4,FALSE))</f>
        <v>6</v>
      </c>
      <c r="AD153" s="1162">
        <f>IF(VLOOKUP(Z153,Z98:AJ132,5,FALSE)=0,11,VLOOKUP(Z153,Z98:AJ132,5,FALSE))</f>
        <v>6</v>
      </c>
      <c r="AE153" s="1162">
        <f>IF(VLOOKUP(Z153,Z98:AJ132,6,FALSE)=0,11,VLOOKUP(Z153,Z98:AJ132,6,FALSE))</f>
        <v>6</v>
      </c>
      <c r="AF153" s="1162">
        <f>IF(VLOOKUP(Z153,Z98:AJ132,7,FALSE)=0,11,VLOOKUP(Z153,Z98:AJ132,7,FALSE))</f>
        <v>6</v>
      </c>
      <c r="AG153" s="1162">
        <f>IF(VLOOKUP(Z153,Z98:AJ132,8,FALSE)=0,11,VLOOKUP(Z153,Z98:AJ132,8,FALSE))</f>
        <v>6</v>
      </c>
      <c r="AH153" s="1162">
        <f>IF(VLOOKUP(Z153,Z98:AJ132,9,FALSE)=0,11,VLOOKUP(Z153,Z98:AJ132,9,FALSE))</f>
        <v>6</v>
      </c>
      <c r="AI153" s="1162">
        <f>IF(VLOOKUP(Z153,Z98:AJ132,10,FALSE)=0,11,VLOOKUP(Z153,Z98:AJ132,10,FALSE))</f>
        <v>6</v>
      </c>
      <c r="AJ153" s="1162">
        <f>IF(VLOOKUP(Z153,Z98:AJ132,11,FALSE)=0,11,VLOOKUP(Z153,Z98:AJ132,11,FALSE))</f>
        <v>6</v>
      </c>
      <c r="AK153" s="1162">
        <f t="shared" si="41"/>
        <v>6</v>
      </c>
      <c r="AL153" s="1162"/>
      <c r="AM153" s="1162"/>
      <c r="AN153" s="1162"/>
      <c r="AO153" s="1162"/>
      <c r="AP153" s="1162" t="str">
        <f t="shared" si="42"/>
        <v>Handling</v>
      </c>
      <c r="AQ153" s="1162">
        <v>11</v>
      </c>
      <c r="AR153" s="1162">
        <f>IF(VLOOKUP(AP153,AP98:AZ132,3,FALSE)=0,11,VLOOKUP(AP153,AP98:AZ132,3,FALSE))</f>
        <v>11</v>
      </c>
      <c r="AS153" s="1162">
        <f>IF(VLOOKUP(AP153,AP98:AZ132,4,FALSE)=0,11,VLOOKUP(AP153,AP98:AZ132,4,FALSE))</f>
        <v>11</v>
      </c>
      <c r="AT153" s="1162">
        <f>IF(VLOOKUP(AP153,AP98:AZ132,5,FALSE)=0,11,VLOOKUP(AP153,AP98:AZ132,5,FALSE))</f>
        <v>10</v>
      </c>
      <c r="AU153" s="1162">
        <f>IF(VLOOKUP(AP153,AP98:AZ132,6,FALSE)=0,11,VLOOKUP(AP153,AP98:AZ132,6,FALSE))</f>
        <v>10</v>
      </c>
      <c r="AV153" s="1162">
        <f>IF(VLOOKUP(AP153,AP98:AZ132,7,FALSE)=0,11,VLOOKUP(AP153,AP98:AZ132,7,FALSE))</f>
        <v>10</v>
      </c>
      <c r="AW153" s="1162">
        <f>IF(VLOOKUP(AP153,AP98:AZ132,8,FALSE)=0,11,VLOOKUP(AP153,AP98:AZ132,7,FALSE))</f>
        <v>10</v>
      </c>
      <c r="AX153" s="1162">
        <f>IF(VLOOKUP(AP153,AP98:AZ132,9,FALSE)=0,11,VLOOKUP(AP153,AP98:AZ132,9,FALSE))</f>
        <v>9</v>
      </c>
      <c r="AY153" s="1162">
        <f>IF(VLOOKUP(AP153,AP98:AZ132,10,FALSE)=0,11,VLOOKUP(AP153,AP98:AZ132,10,FALSE))</f>
        <v>9</v>
      </c>
      <c r="AZ153" s="1163">
        <f>IF(VLOOKUP(AP153,AP98:AZ132,11,FALSE)=0,11,VLOOKUP(AP153,AP98:AZ132,11,FALSE))</f>
        <v>11</v>
      </c>
      <c r="BA153" s="1162"/>
      <c r="BB153" s="1162"/>
      <c r="BC153" s="1162"/>
      <c r="BD153" s="1162"/>
      <c r="BE153" s="1162" t="str">
        <f t="shared" si="43"/>
        <v>Civil engineering</v>
      </c>
      <c r="BF153" s="1162">
        <f>IF(VLOOKUP(BE153,BE98:BO132,2,FALSE)=0,BR133,VLOOKUP(BE153,BE98:BO132,2,FALSE))</f>
        <v>5</v>
      </c>
      <c r="BG153" s="1162">
        <f>IF(VLOOKUP(BE153,BE98:BO132,3,FALSE)=0,BR133,VLOOKUP(BE153,BE98:BO132,3,FALSE))</f>
        <v>5</v>
      </c>
      <c r="BH153" s="1162">
        <f>IF(VLOOKUP(BE153,BE98:BO132,4,FALSE)=0,BR133,VLOOKUP(BE153,BE98:BO132,4,FALSE))</f>
        <v>6</v>
      </c>
      <c r="BI153" s="1162">
        <f>IF(VLOOKUP(BE153,BE98:BO132,5,FALSE)=0,BR133,VLOOKUP(BE153,BE98:BO132,5,FALSE))</f>
        <v>5</v>
      </c>
      <c r="BJ153" s="1162">
        <f>IF(VLOOKUP(BE153,BE98:BO132,6,FALSE)=0,BR133,VLOOKUP(BE153,BE98:BO132,6,FALSE))</f>
        <v>6</v>
      </c>
      <c r="BK153" s="1162">
        <f>IF(VLOOKUP(BE153,BE98:BO132,7,FALSE)=0,BR133,VLOOKUP(BE153,BE98:BO132,7,FALSE))</f>
        <v>6</v>
      </c>
      <c r="BL153" s="1162">
        <f>IF(VLOOKUP(BE153,BE98:BO132,8,FALSE)=0,BR133,VLOOKUP(BE153,BE98:BO132,8,FALSE))</f>
        <v>7</v>
      </c>
      <c r="BM153" s="1162">
        <f>IF(VLOOKUP(BE153,BE98:BO132,9,FALSE)=0,BR133,VLOOKUP(BE153,BE98:BO132,9,FALSE))</f>
        <v>8</v>
      </c>
      <c r="BN153" s="1162">
        <f>IF(VLOOKUP(BE153,BE98:BO132,10,FALSE)=0,BR133,VLOOKUP(BE153,BE98:BO132,10,FALSE))</f>
        <v>7</v>
      </c>
      <c r="BO153" s="1162">
        <f>IF(VLOOKUP(BE153,BE98:BO132,11,FALSE)=0,BR133,VLOOKUP(BE153,BE98:BO132,11,FALSE))</f>
        <v>9</v>
      </c>
      <c r="BP153" s="1162">
        <f t="shared" si="47"/>
        <v>10</v>
      </c>
      <c r="BQ153" s="1162"/>
      <c r="BR153" s="1162"/>
      <c r="BS153" s="1162"/>
      <c r="BT153" s="1162"/>
      <c r="BU153" s="1163" t="str">
        <f t="shared" si="44"/>
        <v>Machine tools</v>
      </c>
      <c r="BV153" s="1162">
        <f t="shared" si="30"/>
        <v>5</v>
      </c>
      <c r="BW153" s="1162">
        <f t="shared" si="31"/>
        <v>5</v>
      </c>
      <c r="BX153" s="1162">
        <f t="shared" si="32"/>
        <v>7</v>
      </c>
      <c r="BY153" s="1162">
        <f t="shared" si="33"/>
        <v>6</v>
      </c>
      <c r="BZ153" s="1162">
        <f t="shared" si="34"/>
        <v>4</v>
      </c>
      <c r="CA153" s="1162">
        <f t="shared" si="35"/>
        <v>6</v>
      </c>
      <c r="CB153" s="1162">
        <f t="shared" si="36"/>
        <v>6</v>
      </c>
      <c r="CC153" s="1162">
        <f t="shared" si="37"/>
        <v>5</v>
      </c>
      <c r="CD153" s="1162">
        <f t="shared" si="38"/>
        <v>5</v>
      </c>
      <c r="CE153" s="1162">
        <f t="shared" si="39"/>
        <v>11</v>
      </c>
      <c r="CF153" s="1162">
        <f>CF123</f>
        <v>5</v>
      </c>
      <c r="CG153" s="1162"/>
      <c r="CH153" s="1162"/>
      <c r="CI153" s="1162"/>
      <c r="CJ153" s="1162"/>
      <c r="CK153" s="1162" t="str">
        <f t="shared" si="45"/>
        <v>Transport</v>
      </c>
      <c r="CL153" s="1162">
        <f>IF(VLOOKUP(CK153,CK98:CU132,2,FALSE)=0,CX133,VLOOKUP(CK153,CK98:CU132,2,FALSE))</f>
        <v>12</v>
      </c>
      <c r="CM153" s="1162">
        <f>IF(VLOOKUP(CK153,CK98:CU132,3,FALSE)=0,CX133,VLOOKUP(CK153,CK98:CU132,3,FALSE))</f>
        <v>12</v>
      </c>
      <c r="CN153" s="1162">
        <f>IF(VLOOKUP(CK153,CK98:CU132,4,FALSE)=0,CX133,VLOOKUP(CK153,CK98:CU132,4,FALSE))</f>
        <v>9</v>
      </c>
      <c r="CO153" s="1162">
        <f>IF(VLOOKUP(CK153,CK98:CU132,5,FALSE)=0,CX133,VLOOKUP(CK153,CK98:CU132,5,FALSE))</f>
        <v>9</v>
      </c>
      <c r="CP153" s="1162">
        <f>IF(VLOOKUP(CK153,CK98:CU132,6,FALSE)=0,CX133,VLOOKUP(CK153,CK98:CU132,6,FALSE))</f>
        <v>7</v>
      </c>
      <c r="CQ153" s="1162">
        <f>IF(VLOOKUP(CK153,CK98:CU132,7,FALSE)=0,CX133,VLOOKUP(CK153,CK98:CU132,7,FALSE))</f>
        <v>7</v>
      </c>
      <c r="CR153" s="1162">
        <f>IF(VLOOKUP(CK153,CK98:CU132,8,FALSE)=0,CX133,VLOOKUP(CK153,CK98:CU132,8,FALSE))</f>
        <v>7</v>
      </c>
      <c r="CS153" s="1162">
        <f>IF(VLOOKUP(CK153,CK98:CU132,9,FALSE)=0,CX133,VLOOKUP(CK153,CK98:CU132,9,FALSE))</f>
        <v>7</v>
      </c>
      <c r="CT153" s="1162">
        <f>IF(VLOOKUP(CK153,CK98:CU132,10,FALSE)=0,CX133,VLOOKUP(CK153,CK98:CU132,10,FALSE))</f>
        <v>6</v>
      </c>
      <c r="CU153" s="1162">
        <f>IF(VLOOKUP(CK153,CK98:CU132,11,FALSE)=0,CX133,VLOOKUP(CK153,CK98:CU132,11,FALSE))</f>
        <v>6</v>
      </c>
      <c r="CV153" s="1162">
        <v>6</v>
      </c>
      <c r="CW153" s="1162"/>
      <c r="CX153" s="1162"/>
      <c r="CY153" s="1162"/>
      <c r="CZ153" s="834"/>
      <c r="DA153" s="834"/>
      <c r="DB153" s="834"/>
      <c r="DC153" s="834"/>
      <c r="DD153" s="839"/>
      <c r="DE153" s="1098"/>
      <c r="DF153" s="1098"/>
      <c r="DG153" s="1098"/>
      <c r="DH153" s="1098"/>
      <c r="DI153" s="1098"/>
      <c r="DJ153" s="1098"/>
      <c r="DK153" s="1098"/>
      <c r="DL153" s="1098"/>
      <c r="DM153" s="1098"/>
      <c r="DN153" s="1098"/>
      <c r="DO153" s="1098"/>
    </row>
    <row r="154" spans="25:119" s="1086" customFormat="1">
      <c r="Y154" s="1113">
        <f t="shared" si="23"/>
        <v>5</v>
      </c>
      <c r="Z154" s="1162" t="str">
        <f t="shared" si="40"/>
        <v>Other special machines</v>
      </c>
      <c r="AA154" s="1162">
        <f>IF(VLOOKUP(Z154,Z98:AJ132,2,FALSE)=0,11,VLOOKUP(Z154,Z98:AJ132,2,FALSE))</f>
        <v>11</v>
      </c>
      <c r="AB154" s="1162">
        <f>IF(VLOOKUP(Z154,Z98:AJ132,3,FALSE)=0,11,VLOOKUP(Z154,Z98:AJ132,3,FALSE))</f>
        <v>11</v>
      </c>
      <c r="AC154" s="1162">
        <f>IF(VLOOKUP(Z154,Z98:AJ132,4,FALSE)=0,11,VLOOKUP(Z154,Z98:AJ132,4,FALSE))</f>
        <v>11</v>
      </c>
      <c r="AD154" s="1162">
        <f>IF(VLOOKUP(Z154,Z98:AJ132,5,FALSE)=0,11,VLOOKUP(Z154,Z98:AJ132,5,FALSE))</f>
        <v>11</v>
      </c>
      <c r="AE154" s="1162">
        <f>IF(VLOOKUP(Z154,Z98:AJ132,6,FALSE)=0,11,VLOOKUP(Z154,Z98:AJ132,6,FALSE))</f>
        <v>11</v>
      </c>
      <c r="AF154" s="1162">
        <f>IF(VLOOKUP(Z154,Z98:AJ132,7,FALSE)=0,11,VLOOKUP(Z154,Z98:AJ132,7,FALSE))</f>
        <v>10</v>
      </c>
      <c r="AG154" s="1162">
        <f>IF(VLOOKUP(Z154,Z98:AJ132,8,FALSE)=0,11,VLOOKUP(Z154,Z98:AJ132,8,FALSE))</f>
        <v>9</v>
      </c>
      <c r="AH154" s="1162">
        <f>IF(VLOOKUP(Z154,Z98:AJ132,9,FALSE)=0,11,VLOOKUP(Z154,Z98:AJ132,9,FALSE))</f>
        <v>9</v>
      </c>
      <c r="AI154" s="1162">
        <f>IF(VLOOKUP(Z154,Z98:AJ132,10,FALSE)=0,11,VLOOKUP(Z154,Z98:AJ132,10,FALSE))</f>
        <v>9</v>
      </c>
      <c r="AJ154" s="1162">
        <f>IF(VLOOKUP(Z154,Z98:AJ132,11,FALSE)=0,11,VLOOKUP(Z154,Z98:AJ132,11,FALSE))</f>
        <v>9</v>
      </c>
      <c r="AK154" s="1162" t="e">
        <f>IF(VLOOKUP(AA154,AA102:AK136,11,FALSE)=0,11,VLOOKUP(AA154,AA102:AK136,11,FALSE))</f>
        <v>#N/A</v>
      </c>
      <c r="AL154" s="1162"/>
      <c r="AM154" s="1162"/>
      <c r="AN154" s="1162"/>
      <c r="AO154" s="1162"/>
      <c r="AP154" s="1162" t="str">
        <f t="shared" si="42"/>
        <v>Measurement</v>
      </c>
      <c r="AQ154" s="1162">
        <f>IF(VLOOKUP(AP154,AP98:AZ132,2,FALSE)=0,"",VLOOKUP(AP154,AP98:AZ132,2,FALSE))</f>
        <v>6</v>
      </c>
      <c r="AR154" s="1162">
        <f>IF(VLOOKUP(AP154,AP98:AZ132,3,FALSE)=0,11,VLOOKUP(AP154,AP98:AZ132,3,FALSE))</f>
        <v>6</v>
      </c>
      <c r="AS154" s="1162">
        <f>IF(VLOOKUP(AP154,AP98:AZ132,4,FALSE)=0,11,VLOOKUP(AP154,AP98:AZ132,4,FALSE))</f>
        <v>6</v>
      </c>
      <c r="AT154" s="1162">
        <f>IF(VLOOKUP(AP154,AP98:AZ132,5,FALSE)=0,11,VLOOKUP(AP154,AP98:AZ132,5,FALSE))</f>
        <v>5</v>
      </c>
      <c r="AU154" s="1162">
        <f>IF(VLOOKUP(AP154,AP98:AZ132,6,FALSE)=0,11,VLOOKUP(AP154,AP98:AZ132,6,FALSE))</f>
        <v>6</v>
      </c>
      <c r="AV154" s="1162">
        <f>IF(VLOOKUP(AP154,AP98:AZ132,7,FALSE)=0,11,VLOOKUP(AP154,AP98:AZ132,7,FALSE))</f>
        <v>6</v>
      </c>
      <c r="AW154" s="1162">
        <f>IF(VLOOKUP(AP154,AP98:AZ132,8,FALSE)=0,11,VLOOKUP(AP154,AP98:AZ132,7,FALSE))</f>
        <v>6</v>
      </c>
      <c r="AX154" s="1162">
        <f>IF(VLOOKUP(AP154,AP98:AZ132,9,FALSE)=0,11,VLOOKUP(AP154,AP98:AZ132,9,FALSE))</f>
        <v>4</v>
      </c>
      <c r="AY154" s="1162">
        <f>IF(VLOOKUP(AP154,AP98:AZ132,10,FALSE)=0,11,VLOOKUP(AP154,AP98:AZ132,10,FALSE))</f>
        <v>5</v>
      </c>
      <c r="AZ154" s="1163">
        <f>IF(VLOOKUP(AP154,AP98:AZ132,11,FALSE)=0,11,VLOOKUP(AP154,AP98:AZ132,11,FALSE))</f>
        <v>5</v>
      </c>
      <c r="BA154" s="1162"/>
      <c r="BB154" s="1162"/>
      <c r="BC154" s="1162"/>
      <c r="BD154" s="1162"/>
      <c r="BE154" s="1162" t="str">
        <f t="shared" si="43"/>
        <v>Medical technology</v>
      </c>
      <c r="BF154" s="1162">
        <f>IF(VLOOKUP(BE154,BE98:BO132,2,FALSE)=0,BR133,VLOOKUP(BE154,BE98:BO132,2,FALSE))</f>
        <v>13</v>
      </c>
      <c r="BG154" s="1162">
        <f>IF(VLOOKUP(BE154,BE98:BO132,3,FALSE)=0,BR133,VLOOKUP(BE154,BE98:BO132,3,FALSE))</f>
        <v>13</v>
      </c>
      <c r="BH154" s="1162">
        <f>IF(VLOOKUP(BE154,BE98:BO132,4,FALSE)=0,BR133,VLOOKUP(BE154,BE98:BO132,4,FALSE))</f>
        <v>9</v>
      </c>
      <c r="BI154" s="1162">
        <f>IF(VLOOKUP(BE154,BE98:BO132,5,FALSE)=0,BR133,VLOOKUP(BE154,BE98:BO132,5,FALSE))</f>
        <v>9</v>
      </c>
      <c r="BJ154" s="1162">
        <f>IF(VLOOKUP(BE154,BE98:BO132,6,FALSE)=0,BR133,VLOOKUP(BE154,BE98:BO132,6,FALSE))</f>
        <v>9</v>
      </c>
      <c r="BK154" s="1162">
        <f>IF(VLOOKUP(BE154,BE98:BO132,7,FALSE)=0,BR133,VLOOKUP(BE154,BE98:BO132,7,FALSE))</f>
        <v>8</v>
      </c>
      <c r="BL154" s="1162">
        <f>IF(VLOOKUP(BE154,BE98:BO132,8,FALSE)=0,BR133,VLOOKUP(BE154,BE98:BO132,8,FALSE))</f>
        <v>6</v>
      </c>
      <c r="BM154" s="1162">
        <f>IF(VLOOKUP(BE154,BE98:BO132,9,FALSE)=0,BR133,VLOOKUP(BE154,BE98:BO132,9,FALSE))</f>
        <v>7</v>
      </c>
      <c r="BN154" s="1162">
        <f>IF(VLOOKUP(BE154,BE98:BO132,10,FALSE)=0,BR133,VLOOKUP(BE154,BE98:BO132,10,FALSE))</f>
        <v>4</v>
      </c>
      <c r="BO154" s="1162">
        <f>IF(VLOOKUP(BE154,BE98:BO132,11,FALSE)=0,BR133,VLOOKUP(BE154,BE98:BO132,11,FALSE))</f>
        <v>4</v>
      </c>
      <c r="BP154" s="1162">
        <v>5</v>
      </c>
      <c r="BQ154" s="1162"/>
      <c r="BR154" s="1162"/>
      <c r="BS154" s="1162"/>
      <c r="BT154" s="1162"/>
      <c r="BU154" s="1163" t="str">
        <f t="shared" si="44"/>
        <v xml:space="preserve">Basic materials chemistry </v>
      </c>
      <c r="BV154" s="1162">
        <f t="shared" si="30"/>
        <v>9</v>
      </c>
      <c r="BW154" s="1162">
        <f t="shared" si="31"/>
        <v>6</v>
      </c>
      <c r="BX154" s="1162">
        <f t="shared" si="32"/>
        <v>6</v>
      </c>
      <c r="BY154" s="1162">
        <f t="shared" si="33"/>
        <v>8</v>
      </c>
      <c r="BZ154" s="1162">
        <f t="shared" si="34"/>
        <v>11</v>
      </c>
      <c r="CA154" s="1162">
        <f t="shared" si="35"/>
        <v>7</v>
      </c>
      <c r="CB154" s="1162">
        <f t="shared" si="36"/>
        <v>7</v>
      </c>
      <c r="CC154" s="1162">
        <f t="shared" si="37"/>
        <v>11</v>
      </c>
      <c r="CD154" s="1162">
        <f t="shared" si="38"/>
        <v>11</v>
      </c>
      <c r="CE154" s="1162">
        <f t="shared" si="39"/>
        <v>5</v>
      </c>
      <c r="CF154" s="1162" cm="1">
        <f t="array" ref="CF154">IF(VLOOKUP($BU154,$BU$98:$CF$132,11,FALSE)=0,$BU$98:$CF$132,VLOOKUP($BU154,$BU$98:$CF$132,11,FALSE))</f>
        <v>5</v>
      </c>
      <c r="CG154" s="1162"/>
      <c r="CH154" s="1162"/>
      <c r="CI154" s="1162"/>
      <c r="CJ154" s="1162"/>
      <c r="CK154" s="1162" t="str">
        <f t="shared" si="45"/>
        <v>Semiconductors</v>
      </c>
      <c r="CL154" s="1162">
        <f>IF(VLOOKUP(CK154,CK98:CU132,2,FALSE)=0,CX133,VLOOKUP(CK154,CK98:CU132,2,FALSE))</f>
        <v>6</v>
      </c>
      <c r="CM154" s="1162">
        <f>IF(VLOOKUP(CK154,CK98:CU132,3,FALSE)=0,CX133,VLOOKUP(CK154,CK98:CU132,3,FALSE))</f>
        <v>6</v>
      </c>
      <c r="CN154" s="1162">
        <f>IF(VLOOKUP(CK154,CK98:CU132,4,FALSE)=0,CX133,VLOOKUP(CK154,CK98:CU132,4,FALSE))</f>
        <v>5</v>
      </c>
      <c r="CO154" s="1162">
        <f>IF(VLOOKUP(CK154,CK98:CU132,5,FALSE)=0,CX133,VLOOKUP(CK154,CK98:CU132,5,FALSE))</f>
        <v>5</v>
      </c>
      <c r="CP154" s="1162">
        <f>IF(VLOOKUP(CK154,CK98:CU132,6,FALSE)=0,CX133,VLOOKUP(CK154,CK98:CU132,6,FALSE))</f>
        <v>5</v>
      </c>
      <c r="CQ154" s="1162">
        <f>IF(VLOOKUP(CK154,CK98:CU132,7,FALSE)=0,CX133,VLOOKUP(CK154,CK98:CU132,7,FALSE))</f>
        <v>5</v>
      </c>
      <c r="CR154" s="1162">
        <f>IF(VLOOKUP(CK154,CK98:CU132,8,FALSE)=0,CX133,VLOOKUP(CK154,CK98:CU132,8,FALSE))</f>
        <v>5</v>
      </c>
      <c r="CS154" s="1162">
        <f>IF(VLOOKUP(CK154,CK98:CU132,9,FALSE)=0,CX133,VLOOKUP(CK154,CK98:CU132,9,FALSE))</f>
        <v>5</v>
      </c>
      <c r="CT154" s="1162">
        <f>IF(VLOOKUP(CK154,CK98:CU132,10,FALSE)=0,CX133,VLOOKUP(CK154,CK98:CU132,10,FALSE))</f>
        <v>5</v>
      </c>
      <c r="CU154" s="1162">
        <f>IF(VLOOKUP(CK154,CK98:CU132,11,FALSE)=0,CX133,VLOOKUP(CK154,CK98:CU132,11,FALSE))</f>
        <v>5</v>
      </c>
      <c r="CV154" s="1162">
        <f t="shared" si="46"/>
        <v>5</v>
      </c>
      <c r="CW154" s="1162"/>
      <c r="CX154" s="1162"/>
      <c r="CY154" s="1162"/>
      <c r="CZ154" s="834"/>
      <c r="DA154" s="834"/>
      <c r="DB154" s="834"/>
      <c r="DC154" s="834"/>
      <c r="DD154" s="839"/>
      <c r="DE154" s="1098"/>
      <c r="DF154" s="1098"/>
      <c r="DG154" s="1098"/>
      <c r="DH154" s="1098"/>
      <c r="DI154" s="1098"/>
      <c r="DJ154" s="1098"/>
      <c r="DK154" s="1098"/>
      <c r="DL154" s="1098"/>
      <c r="DM154" s="1098"/>
      <c r="DN154" s="1098"/>
      <c r="DO154" s="1098"/>
    </row>
    <row r="155" spans="25:119" s="1086" customFormat="1">
      <c r="Y155" s="1113">
        <f t="shared" si="23"/>
        <v>6</v>
      </c>
      <c r="Z155" s="1162" t="str">
        <f t="shared" si="40"/>
        <v>Transport</v>
      </c>
      <c r="AA155" s="1162">
        <f>IF(VLOOKUP(Z155,Z98:AJ132,2,FALSE)=0,11,VLOOKUP(Z155,Z98:AJ132,2,FALSE))</f>
        <v>5</v>
      </c>
      <c r="AB155" s="1162">
        <f>IF(VLOOKUP(Z155,Z98:AJ132,3,FALSE)=0,11,VLOOKUP(Z155,Z98:AJ132,3,FALSE))</f>
        <v>5</v>
      </c>
      <c r="AC155" s="1162">
        <f>IF(VLOOKUP(Z155,Z98:AJ132,4,FALSE)=0,11,VLOOKUP(Z155,Z98:AJ132,4,FALSE))</f>
        <v>5</v>
      </c>
      <c r="AD155" s="1162">
        <f>IF(VLOOKUP(Z155,Z98:AJ132,5,FALSE)=0,11,VLOOKUP(Z155,Z98:AJ132,5,FALSE))</f>
        <v>5</v>
      </c>
      <c r="AE155" s="1162">
        <f>IF(VLOOKUP(Z155,Z98:AJ132,6,FALSE)=0,11,VLOOKUP(Z155,Z98:AJ132,6,FALSE))</f>
        <v>5</v>
      </c>
      <c r="AF155" s="1162">
        <f>IF(VLOOKUP(Z155,Z98:AJ132,7,FALSE)=0,11,VLOOKUP(Z155,Z98:AJ132,7,FALSE))</f>
        <v>5</v>
      </c>
      <c r="AG155" s="1162">
        <f>IF(VLOOKUP(Z155,Z98:AJ132,8,FALSE)=0,11,VLOOKUP(Z155,Z98:AJ132,8,FALSE))</f>
        <v>5</v>
      </c>
      <c r="AH155" s="1162">
        <f>IF(VLOOKUP(Z155,Z98:AJ132,9,FALSE)=0,11,VLOOKUP(Z155,Z98:AJ132,9,FALSE))</f>
        <v>5</v>
      </c>
      <c r="AI155" s="1162">
        <f>IF(VLOOKUP(Z155,Z98:AJ132,10,FALSE)=0,11,VLOOKUP(Z155,Z98:AJ132,10,FALSE))</f>
        <v>5</v>
      </c>
      <c r="AJ155" s="1162">
        <f>IF(VLOOKUP(Z155,Z98:AJ132,11,FALSE)=0,11,VLOOKUP(Z155,Z98:AJ132,11,FALSE))</f>
        <v>5</v>
      </c>
      <c r="AK155" s="1162">
        <v>9</v>
      </c>
      <c r="AL155" s="1162"/>
      <c r="AM155" s="1162"/>
      <c r="AN155" s="1162"/>
      <c r="AO155" s="1162"/>
      <c r="AP155" s="1162" t="str">
        <f t="shared" si="42"/>
        <v>Optics</v>
      </c>
      <c r="AQ155" s="1162">
        <f>IF(VLOOKUP(AP155,AP98:AZ132,2,FALSE)=0,"",VLOOKUP(AP155,AP98:AZ132,2,FALSE))</f>
        <v>2</v>
      </c>
      <c r="AR155" s="1162">
        <f>IF(VLOOKUP(AP155,AP98:AZ132,3,FALSE)=0,11,VLOOKUP(AP155,AP98:AZ132,3,FALSE))</f>
        <v>3</v>
      </c>
      <c r="AS155" s="1162">
        <f>IF(VLOOKUP(AP155,AP98:AZ132,4,FALSE)=0,11,VLOOKUP(AP155,AP98:AZ132,4,FALSE))</f>
        <v>3</v>
      </c>
      <c r="AT155" s="1162">
        <f>IF(VLOOKUP(AP155,AP98:AZ132,5,FALSE)=0,11,VLOOKUP(AP155,AP98:AZ132,5,FALSE))</f>
        <v>4</v>
      </c>
      <c r="AU155" s="1162">
        <f>IF(VLOOKUP(AP155,AP98:AZ132,6,FALSE)=0,11,VLOOKUP(AP155,AP98:AZ132,6,FALSE))</f>
        <v>4</v>
      </c>
      <c r="AV155" s="1162">
        <f>IF(VLOOKUP(AP155,AP98:AZ132,7,FALSE)=0,11,VLOOKUP(AP155,AP98:AZ132,7,FALSE))</f>
        <v>4</v>
      </c>
      <c r="AW155" s="1162">
        <f>IF(VLOOKUP(AP155,AP98:AZ132,8,FALSE)=0,11,VLOOKUP(AP155,AP98:AZ132,7,FALSE))</f>
        <v>4</v>
      </c>
      <c r="AX155" s="1162">
        <f>IF(VLOOKUP(AP155,AP98:AZ132,9,FALSE)=0,11,VLOOKUP(AP155,AP98:AZ132,9,FALSE))</f>
        <v>6</v>
      </c>
      <c r="AY155" s="1162">
        <f>IF(VLOOKUP(AP155,AP98:AZ132,10,FALSE)=0,11,VLOOKUP(AP155,AP98:AZ132,10,FALSE))</f>
        <v>6</v>
      </c>
      <c r="AZ155" s="1163">
        <f>IF(VLOOKUP(AP155,AP98:AZ132,11,FALSE)=0,11,VLOOKUP(AP155,AP98:AZ132,11,FALSE))</f>
        <v>7</v>
      </c>
      <c r="BA155" s="1162"/>
      <c r="BB155" s="1162"/>
      <c r="BC155" s="1162"/>
      <c r="BD155" s="1162"/>
      <c r="BE155" s="1162" t="str">
        <f t="shared" si="43"/>
        <v>IT methods for management</v>
      </c>
      <c r="BF155" s="1162">
        <f>IF(VLOOKUP(BE155,BE98:BO132,2,FALSE)=0,BR133,VLOOKUP(BE155,BE98:BO132,2,FALSE))</f>
        <v>7</v>
      </c>
      <c r="BG155" s="1162">
        <f>IF(VLOOKUP(BE155,BE98:BO132,3,FALSE)=0,BR133,VLOOKUP(BE155,BE98:BO132,3,FALSE))</f>
        <v>9</v>
      </c>
      <c r="BH155" s="1162">
        <f>IF(VLOOKUP(BE155,BE98:BO132,4,FALSE)=0,BR133,VLOOKUP(BE155,BE98:BO132,4,FALSE))</f>
        <v>8</v>
      </c>
      <c r="BI155" s="1162">
        <f>IF(VLOOKUP(BE155,BE98:BO132,5,FALSE)=0,BR133,VLOOKUP(BE155,BE98:BO132,5,FALSE))</f>
        <v>6</v>
      </c>
      <c r="BJ155" s="1162">
        <f>IF(VLOOKUP(BE155,BE98:BO132,6,FALSE)=0,BR133,VLOOKUP(BE155,BE98:BO132,6,FALSE))</f>
        <v>5</v>
      </c>
      <c r="BK155" s="1162">
        <f>IF(VLOOKUP(BE155,BE98:BO132,7,FALSE)=0,BR133,VLOOKUP(BE155,BE98:BO132,7,FALSE))</f>
        <v>5</v>
      </c>
      <c r="BL155" s="1162">
        <f>IF(VLOOKUP(BE155,BE98:BO132,8,FALSE)=0,BR133,VLOOKUP(BE155,BE98:BO132,8,FALSE))</f>
        <v>4</v>
      </c>
      <c r="BM155" s="1162">
        <f>IF(VLOOKUP(BE155,BE98:BO132,9,FALSE)=0,BR133,VLOOKUP(BE155,BE98:BO132,9,FALSE))</f>
        <v>4</v>
      </c>
      <c r="BN155" s="1162">
        <f>IF(VLOOKUP(BE155,BE98:BO132,10,FALSE)=0,BR133,VLOOKUP(BE155,BE98:BO132,10,FALSE))</f>
        <v>3</v>
      </c>
      <c r="BO155" s="1162">
        <f>IF(VLOOKUP(BE155,BE98:BO132,11,FALSE)=0,BR133,VLOOKUP(BE155,BE98:BO132,11,FALSE))</f>
        <v>3</v>
      </c>
      <c r="BP155" s="1162">
        <f t="shared" si="47"/>
        <v>3</v>
      </c>
      <c r="BQ155" s="1162"/>
      <c r="BR155" s="1162"/>
      <c r="BS155" s="1162"/>
      <c r="BT155" s="1162"/>
      <c r="BU155" s="1163" t="str">
        <f t="shared" si="44"/>
        <v>Food chemistry</v>
      </c>
      <c r="BV155" s="1162">
        <f t="shared" si="30"/>
        <v>10</v>
      </c>
      <c r="BW155" s="1162">
        <f t="shared" si="31"/>
        <v>7</v>
      </c>
      <c r="BX155" s="1162">
        <f t="shared" si="32"/>
        <v>4</v>
      </c>
      <c r="BY155" s="1162">
        <f t="shared" si="33"/>
        <v>5</v>
      </c>
      <c r="BZ155" s="1162">
        <f t="shared" si="34"/>
        <v>5</v>
      </c>
      <c r="CA155" s="1162">
        <f t="shared" si="35"/>
        <v>8</v>
      </c>
      <c r="CB155" s="1162">
        <f t="shared" si="36"/>
        <v>8</v>
      </c>
      <c r="CC155" s="1162">
        <f t="shared" si="37"/>
        <v>11</v>
      </c>
      <c r="CD155" s="1162">
        <f t="shared" si="38"/>
        <v>11</v>
      </c>
      <c r="CE155" s="1162">
        <f t="shared" si="39"/>
        <v>11</v>
      </c>
      <c r="CF155" s="1164">
        <v>32</v>
      </c>
      <c r="CG155" s="1162"/>
      <c r="CH155" s="1162"/>
      <c r="CI155" s="1162"/>
      <c r="CJ155" s="1162"/>
      <c r="CK155" s="1162" t="str">
        <f t="shared" si="45"/>
        <v>Pharmaceuticals</v>
      </c>
      <c r="CL155" s="1162">
        <f>IF(VLOOKUP(CK155,CK98:CU132,2,FALSE)=0,CX133,VLOOKUP(CK155,CK98:CU132,2,FALSE))</f>
        <v>7</v>
      </c>
      <c r="CM155" s="1162">
        <f>IF(VLOOKUP(CK155,CK98:CU132,3,FALSE)=0,CX133,VLOOKUP(CK155,CK98:CU132,3,FALSE))</f>
        <v>9</v>
      </c>
      <c r="CN155" s="1162">
        <f>IF(VLOOKUP(CK155,CK98:CU132,4,FALSE)=0,CX133,VLOOKUP(CK155,CK98:CU132,4,FALSE))</f>
        <v>10</v>
      </c>
      <c r="CO155" s="1162">
        <f>IF(VLOOKUP(CK155,CK98:CU132,5,FALSE)=0,CX133,VLOOKUP(CK155,CK98:CU132,5,FALSE))</f>
        <v>10</v>
      </c>
      <c r="CP155" s="1162">
        <f>IF(VLOOKUP(CK155,CK98:CU132,6,FALSE)=0,CX133,VLOOKUP(CK155,CK98:CU132,6,FALSE))</f>
        <v>12</v>
      </c>
      <c r="CQ155" s="1162">
        <f>IF(VLOOKUP(CK155,CK98:CU132,7,FALSE)=0,CX133,VLOOKUP(CK155,CK98:CU132,7,FALSE))</f>
        <v>12</v>
      </c>
      <c r="CR155" s="1162">
        <f>IF(VLOOKUP(CK155,CK98:CU132,8,FALSE)=0,CX133,VLOOKUP(CK155,CK98:CU132,8,FALSE))</f>
        <v>12</v>
      </c>
      <c r="CS155" s="1162">
        <f>IF(VLOOKUP(CK155,CK98:CU132,9,FALSE)=0,CX133,VLOOKUP(CK155,CK98:CU132,9,FALSE))</f>
        <v>12</v>
      </c>
      <c r="CT155" s="1162">
        <f>IF(VLOOKUP(CK155,CK98:CU132,10,FALSE)=0,CX133,VLOOKUP(CK155,CK98:CU132,10,FALSE))</f>
        <v>12</v>
      </c>
      <c r="CU155" s="1162">
        <f>IF(VLOOKUP(CK155,CK98:CU132,11,FALSE)=0,CX133,VLOOKUP(CK155,CK98:CU132,11,FALSE))</f>
        <v>10</v>
      </c>
      <c r="CV155" s="1162">
        <f t="shared" si="46"/>
        <v>10</v>
      </c>
      <c r="CW155" s="1162"/>
      <c r="CX155" s="1162"/>
      <c r="CY155" s="1162"/>
      <c r="CZ155" s="834"/>
      <c r="DA155" s="834"/>
      <c r="DB155" s="834"/>
      <c r="DC155" s="834"/>
      <c r="DD155" s="839"/>
      <c r="DE155" s="1098"/>
      <c r="DF155" s="1098"/>
      <c r="DG155" s="1098"/>
      <c r="DH155" s="1098"/>
      <c r="DI155" s="1098"/>
      <c r="DJ155" s="1098"/>
      <c r="DK155" s="1098"/>
      <c r="DL155" s="1098"/>
      <c r="DM155" s="1098"/>
      <c r="DN155" s="1098"/>
      <c r="DO155" s="1098"/>
    </row>
    <row r="156" spans="25:119" s="1086" customFormat="1">
      <c r="Y156" s="1113">
        <f t="shared" si="23"/>
        <v>7</v>
      </c>
      <c r="Z156" s="1162" t="str">
        <f t="shared" si="40"/>
        <v>Engines, pumps, turbines</v>
      </c>
      <c r="AA156" s="1162">
        <f>IF(VLOOKUP(Z156,Z98:AJ132,2,FALSE)=0,11,VLOOKUP(Z156,Z98:AJ132,2,FALSE))</f>
        <v>9</v>
      </c>
      <c r="AB156" s="1162">
        <f>IF(VLOOKUP(Z156,Z98:AJ132,3,FALSE)=0,11,VLOOKUP(Z156,Z98:AJ132,3,FALSE))</f>
        <v>8</v>
      </c>
      <c r="AC156" s="1162">
        <f>IF(VLOOKUP(Z156,Z98:AJ132,4,FALSE)=0,11,VLOOKUP(Z156,Z98:AJ132,4,FALSE))</f>
        <v>9</v>
      </c>
      <c r="AD156" s="1162">
        <f>IF(VLOOKUP(Z156,Z98:AJ132,5,FALSE)=0,11,VLOOKUP(Z156,Z98:AJ132,5,FALSE))</f>
        <v>8</v>
      </c>
      <c r="AE156" s="1162">
        <f>IF(VLOOKUP(Z156,Z98:AJ132,6,FALSE)=0,11,VLOOKUP(Z156,Z98:AJ132,6,FALSE))</f>
        <v>7</v>
      </c>
      <c r="AF156" s="1162">
        <f>IF(VLOOKUP(Z156,Z98:AJ132,7,FALSE)=0,11,VLOOKUP(Z156,Z98:AJ132,7,FALSE))</f>
        <v>11</v>
      </c>
      <c r="AG156" s="1162">
        <f>IF(VLOOKUP(Z156,Z98:AJ132,8,FALSE)=0,11,VLOOKUP(Z156,Z98:AJ132,8,FALSE))</f>
        <v>11</v>
      </c>
      <c r="AH156" s="1162">
        <f>IF(VLOOKUP(Z156,Z98:AJ132,9,FALSE)=0,11,VLOOKUP(Z156,Z98:AJ132,9,FALSE))</f>
        <v>11</v>
      </c>
      <c r="AI156" s="1162">
        <f>IF(VLOOKUP(Z156,Z98:AJ132,10,FALSE)=0,11,VLOOKUP(Z156,Z98:AJ132,10,FALSE))</f>
        <v>11</v>
      </c>
      <c r="AJ156" s="1162">
        <f>IF(VLOOKUP(Z156,Z98:AJ132,11,FALSE)=0,11,VLOOKUP(Z156,Z98:AJ132,11,FALSE))</f>
        <v>11</v>
      </c>
      <c r="AK156" s="1162">
        <f t="shared" si="41"/>
        <v>11</v>
      </c>
      <c r="AL156" s="1162"/>
      <c r="AM156" s="1162"/>
      <c r="AN156" s="1162"/>
      <c r="AO156" s="1162"/>
      <c r="AP156" s="1162" t="str">
        <f t="shared" si="42"/>
        <v>Medical technology</v>
      </c>
      <c r="AQ156" s="1162">
        <f>IF(VLOOKUP(AP156,AP98:AZ132,2,FALSE)=0,"",VLOOKUP(AP156,AP98:AZ132,2,FALSE))</f>
        <v>9</v>
      </c>
      <c r="AR156" s="1162">
        <f>IF(VLOOKUP(AP156,AP98:AZ132,3,FALSE)=0,11,VLOOKUP(AP156,AP98:AZ132,3,FALSE))</f>
        <v>11</v>
      </c>
      <c r="AS156" s="1162">
        <f>IF(VLOOKUP(AP156,AP98:AZ132,4,FALSE)=0,11,VLOOKUP(AP156,AP98:AZ132,4,FALSE))</f>
        <v>11</v>
      </c>
      <c r="AT156" s="1162">
        <f>IF(VLOOKUP(AP156,AP98:AZ132,5,FALSE)=0,11,VLOOKUP(AP156,AP98:AZ132,5,FALSE))</f>
        <v>6</v>
      </c>
      <c r="AU156" s="1162">
        <f>IF(VLOOKUP(AP156,AP98:AZ132,6,FALSE)=0,11,VLOOKUP(AP156,AP98:AZ132,6,FALSE))</f>
        <v>5</v>
      </c>
      <c r="AV156" s="1162">
        <f>IF(VLOOKUP(AP156,AP98:AZ132,7,FALSE)=0,11,VLOOKUP(AP156,AP98:AZ132,7,FALSE))</f>
        <v>5</v>
      </c>
      <c r="AW156" s="1162">
        <f>IF(VLOOKUP(AP156,AP98:AZ132,8,FALSE)=0,11,VLOOKUP(AP156,AP98:AZ132,7,FALSE))</f>
        <v>5</v>
      </c>
      <c r="AX156" s="1162">
        <f>IF(VLOOKUP(AP156,AP98:AZ132,9,FALSE)=0,11,VLOOKUP(AP156,AP98:AZ132,9,FALSE))</f>
        <v>5</v>
      </c>
      <c r="AY156" s="1162">
        <f>IF(VLOOKUP(AP156,AP98:AZ132,10,FALSE)=0,11,VLOOKUP(AP156,AP98:AZ132,10,FALSE))</f>
        <v>4</v>
      </c>
      <c r="AZ156" s="1163">
        <f>IF(VLOOKUP(AP156,AP98:AZ132,11,FALSE)=0,11,VLOOKUP(AP156,AP98:AZ132,11,FALSE))</f>
        <v>4</v>
      </c>
      <c r="BA156" s="1162"/>
      <c r="BB156" s="1162"/>
      <c r="BC156" s="1162"/>
      <c r="BD156" s="1162"/>
      <c r="BE156" s="1162" t="str">
        <f t="shared" si="43"/>
        <v>Transport</v>
      </c>
      <c r="BF156" s="1162">
        <f>IF(VLOOKUP(BE156,BE98:BO132,2,FALSE)=0,BR133,VLOOKUP(BE156,BE98:BO132,2,FALSE))</f>
        <v>4</v>
      </c>
      <c r="BG156" s="1162">
        <f>IF(VLOOKUP(BE156,BE98:BO132,3,FALSE)=0,BR133,VLOOKUP(BE156,BE98:BO132,3,FALSE))</f>
        <v>4</v>
      </c>
      <c r="BH156" s="1162">
        <f>IF(VLOOKUP(BE156,BE98:BO132,4,FALSE)=0,BR133,VLOOKUP(BE156,BE98:BO132,4,FALSE))</f>
        <v>3</v>
      </c>
      <c r="BI156" s="1162">
        <f>IF(VLOOKUP(BE156,BE98:BO132,5,FALSE)=0,BR133,VLOOKUP(BE156,BE98:BO132,5,FALSE))</f>
        <v>3</v>
      </c>
      <c r="BJ156" s="1162">
        <f>IF(VLOOKUP(BE156,BE98:BO132,6,FALSE)=0,BR133,VLOOKUP(BE156,BE98:BO132,6,FALSE))</f>
        <v>3</v>
      </c>
      <c r="BK156" s="1162">
        <f>IF(VLOOKUP(BE156,BE98:BO132,7,FALSE)=0,BR133,VLOOKUP(BE156,BE98:BO132,7,FALSE))</f>
        <v>3</v>
      </c>
      <c r="BL156" s="1162">
        <f>IF(VLOOKUP(BE156,BE98:BO132,8,FALSE)=0,BR133,VLOOKUP(BE156,BE98:BO132,8,FALSE))</f>
        <v>5</v>
      </c>
      <c r="BM156" s="1162">
        <f>IF(VLOOKUP(BE156,BE98:BO132,9,FALSE)=0,BR133,VLOOKUP(BE156,BE98:BO132,9,FALSE))</f>
        <v>6</v>
      </c>
      <c r="BN156" s="1162">
        <f>IF(VLOOKUP(BE156,BE98:BO132,10,FALSE)=0,BR133,VLOOKUP(BE156,BE98:BO132,10,FALSE))</f>
        <v>6</v>
      </c>
      <c r="BO156" s="1162">
        <f>IF(VLOOKUP(BE156,BE98:BO132,11,FALSE)=0,BR133,VLOOKUP(BE156,BE98:BO132,11,FALSE))</f>
        <v>6</v>
      </c>
      <c r="BP156" s="1162">
        <f t="shared" si="47"/>
        <v>6</v>
      </c>
      <c r="BQ156" s="1162"/>
      <c r="BR156" s="1162"/>
      <c r="BS156" s="1162"/>
      <c r="BT156" s="1162"/>
      <c r="BU156" s="1163" t="str">
        <f t="shared" si="44"/>
        <v>Pharmaceuticals</v>
      </c>
      <c r="BV156" s="1162">
        <f t="shared" si="30"/>
        <v>8</v>
      </c>
      <c r="BW156" s="1162">
        <f t="shared" si="31"/>
        <v>10</v>
      </c>
      <c r="BX156" s="1162">
        <f t="shared" si="32"/>
        <v>5</v>
      </c>
      <c r="BY156" s="1162">
        <f t="shared" si="33"/>
        <v>4</v>
      </c>
      <c r="BZ156" s="1162">
        <f t="shared" si="34"/>
        <v>10</v>
      </c>
      <c r="CA156" s="1162">
        <f t="shared" si="35"/>
        <v>11</v>
      </c>
      <c r="CB156" s="1162">
        <f t="shared" si="36"/>
        <v>11</v>
      </c>
      <c r="CC156" s="1162">
        <f t="shared" si="37"/>
        <v>11</v>
      </c>
      <c r="CD156" s="1162">
        <f t="shared" si="38"/>
        <v>11</v>
      </c>
      <c r="CE156" s="1162">
        <f t="shared" si="39"/>
        <v>9</v>
      </c>
      <c r="CF156" s="1162">
        <v>28</v>
      </c>
      <c r="CG156" s="1162"/>
      <c r="CH156" s="1162"/>
      <c r="CI156" s="1162"/>
      <c r="CJ156" s="1162"/>
      <c r="CK156" s="1162" t="str">
        <f t="shared" si="45"/>
        <v>Optics</v>
      </c>
      <c r="CL156" s="1162">
        <f>IF(VLOOKUP(CK156,CK98:CU132,2,FALSE)=0,CX133,VLOOKUP(CK156,CK98:CU132,2,FALSE))</f>
        <v>12</v>
      </c>
      <c r="CM156" s="1162">
        <f>IF(VLOOKUP(CK156,CK98:CU132,3,FALSE)=0,CX133,VLOOKUP(CK156,CK98:CU132,3,FALSE))</f>
        <v>12</v>
      </c>
      <c r="CN156" s="1162">
        <f>IF(VLOOKUP(CK156,CK98:CU132,4,FALSE)=0,CX133,VLOOKUP(CK156,CK98:CU132,4,FALSE))</f>
        <v>12</v>
      </c>
      <c r="CO156" s="1162">
        <f>IF(VLOOKUP(CK156,CK98:CU132,5,FALSE)=0,CX133,VLOOKUP(CK156,CK98:CU132,5,FALSE))</f>
        <v>12</v>
      </c>
      <c r="CP156" s="1162">
        <f>IF(VLOOKUP(CK156,CK98:CU132,6,FALSE)=0,CX133,VLOOKUP(CK156,CK98:CU132,6,FALSE))</f>
        <v>10</v>
      </c>
      <c r="CQ156" s="1162">
        <f>IF(VLOOKUP(CK156,CK98:CU132,7,FALSE)=0,CX133,VLOOKUP(CK156,CK98:CU132,7,FALSE))</f>
        <v>10</v>
      </c>
      <c r="CR156" s="1162">
        <f>IF(VLOOKUP(CK156,CK98:CU132,8,FALSE)=0,CX133,VLOOKUP(CK156,CK98:CU132,8,FALSE))</f>
        <v>10</v>
      </c>
      <c r="CS156" s="1162">
        <f>IF(VLOOKUP(CK156,CK98:CU132,9,FALSE)=0,CX133,VLOOKUP(CK156,CK98:CU132,9,FALSE))</f>
        <v>10</v>
      </c>
      <c r="CT156" s="1162">
        <f>IF(VLOOKUP(CK156,CK98:CU132,10,FALSE)=0,CX133,VLOOKUP(CK156,CK98:CU132,10,FALSE))</f>
        <v>10</v>
      </c>
      <c r="CU156" s="1162">
        <f>IF(VLOOKUP(CK156,CK98:CU132,11,FALSE)=0,CX133,VLOOKUP(CK156,CK98:CU132,11,FALSE))</f>
        <v>12</v>
      </c>
      <c r="CV156" s="1162">
        <v>11</v>
      </c>
      <c r="CW156" s="1162"/>
      <c r="CX156" s="1162"/>
      <c r="CY156" s="1162"/>
      <c r="CZ156" s="834"/>
      <c r="DA156" s="834"/>
      <c r="DB156" s="834"/>
      <c r="DC156" s="834"/>
      <c r="DD156" s="839"/>
      <c r="DE156" s="1098"/>
      <c r="DF156" s="1098"/>
      <c r="DG156" s="1098"/>
      <c r="DH156" s="1098"/>
      <c r="DI156" s="1098"/>
      <c r="DJ156" s="1098"/>
      <c r="DK156" s="1098"/>
      <c r="DL156" s="1098"/>
      <c r="DM156" s="1098"/>
      <c r="DN156" s="1098"/>
      <c r="DO156" s="1098"/>
    </row>
    <row r="157" spans="25:119" s="1086" customFormat="1">
      <c r="Y157" s="1113">
        <f t="shared" si="23"/>
        <v>8</v>
      </c>
      <c r="Z157" s="1162" t="str">
        <f t="shared" si="40"/>
        <v>Electrical machinery, apparatus, energy</v>
      </c>
      <c r="AA157" s="1162">
        <f>IF(VLOOKUP(Z157,Z98:AJ132,2,FALSE)=0,11,VLOOKUP(Z157,Z98:AJ132,2,FALSE))</f>
        <v>2</v>
      </c>
      <c r="AB157" s="1162">
        <f>IF(VLOOKUP(Z157,Z98:AJ132,3,FALSE)=0,11,VLOOKUP(Z157,Z98:AJ132,3,FALSE))</f>
        <v>2</v>
      </c>
      <c r="AC157" s="1162">
        <f>IF(VLOOKUP(Z157,Z98:AJ132,4,FALSE)=0,11,VLOOKUP(Z157,Z98:AJ132,4,FALSE))</f>
        <v>3</v>
      </c>
      <c r="AD157" s="1162">
        <f>IF(VLOOKUP(Z157,Z98:AJ132,5,FALSE)=0,11,VLOOKUP(Z157,Z98:AJ132,5,FALSE))</f>
        <v>4</v>
      </c>
      <c r="AE157" s="1162">
        <f>IF(VLOOKUP(Z157,Z98:AJ132,6,FALSE)=0,11,VLOOKUP(Z157,Z98:AJ132,6,FALSE))</f>
        <v>4</v>
      </c>
      <c r="AF157" s="1162">
        <f>IF(VLOOKUP(Z157,Z98:AJ132,7,FALSE)=0,11,VLOOKUP(Z157,Z98:AJ132,7,FALSE))</f>
        <v>4</v>
      </c>
      <c r="AG157" s="1162">
        <f>IF(VLOOKUP(Z157,Z98:AJ132,8,FALSE)=0,11,VLOOKUP(Z157,Z98:AJ132,8,FALSE))</f>
        <v>4</v>
      </c>
      <c r="AH157" s="1162">
        <f>IF(VLOOKUP(Z157,Z98:AJ132,9,FALSE)=0,11,VLOOKUP(Z157,Z98:AJ132,9,FALSE))</f>
        <v>4</v>
      </c>
      <c r="AI157" s="1162">
        <f>IF(VLOOKUP(Z157,Z98:AJ132,10,FALSE)=0,11,VLOOKUP(Z157,Z98:AJ132,10,FALSE))</f>
        <v>4</v>
      </c>
      <c r="AJ157" s="1162">
        <f>IF(VLOOKUP(Z157,Z98:AJ132,11,FALSE)=0,11,VLOOKUP(Z157,Z98:AJ132,11,FALSE))</f>
        <v>4</v>
      </c>
      <c r="AK157" s="1162">
        <v>4</v>
      </c>
      <c r="AL157" s="1162"/>
      <c r="AM157" s="1162"/>
      <c r="AN157" s="1162"/>
      <c r="AO157" s="1162"/>
      <c r="AP157" s="1162" t="str">
        <f t="shared" si="42"/>
        <v>Furniture, games</v>
      </c>
      <c r="AQ157" s="1162">
        <f>IF(VLOOKUP(AP157,AP98:AZ132,2,FALSE)=0,"",VLOOKUP(AP157,AP98:AZ132,2,FALSE))</f>
        <v>8</v>
      </c>
      <c r="AR157" s="1162">
        <f>IF(VLOOKUP(AP157,AP98:AZ132,3,FALSE)=0,11,VLOOKUP(AP157,AP98:AZ132,3,FALSE))</f>
        <v>8</v>
      </c>
      <c r="AS157" s="1162">
        <f>IF(VLOOKUP(AP157,AP98:AZ132,4,FALSE)=0,11,VLOOKUP(AP157,AP98:AZ132,4,FALSE))</f>
        <v>4</v>
      </c>
      <c r="AT157" s="1162">
        <f>IF(VLOOKUP(AP157,AP98:AZ132,5,FALSE)=0,11,VLOOKUP(AP157,AP98:AZ132,5,FALSE))</f>
        <v>11</v>
      </c>
      <c r="AU157" s="1162">
        <f>IF(VLOOKUP(AP157,AP98:AZ132,6,FALSE)=0,11,VLOOKUP(AP157,AP98:AZ132,6,FALSE))</f>
        <v>2</v>
      </c>
      <c r="AV157" s="1162">
        <f>IF(VLOOKUP(AP157,AP98:AZ132,7,FALSE)=0,11,VLOOKUP(AP157,AP98:AZ132,7,FALSE))</f>
        <v>2</v>
      </c>
      <c r="AW157" s="1162">
        <f>IF(VLOOKUP(AP157,AP98:AZ132,8,FALSE)=0,11,VLOOKUP(AP157,AP98:AZ132,7,FALSE))</f>
        <v>2</v>
      </c>
      <c r="AX157" s="1162">
        <f>IF(VLOOKUP(AP157,AP98:AZ132,9,FALSE)=0,11,VLOOKUP(AP157,AP98:AZ132,9,FALSE))</f>
        <v>2</v>
      </c>
      <c r="AY157" s="1162">
        <f>IF(VLOOKUP(AP157,AP98:AZ132,10,FALSE)=0,11,VLOOKUP(AP157,AP98:AZ132,10,FALSE))</f>
        <v>2</v>
      </c>
      <c r="AZ157" s="1163">
        <f>IF(VLOOKUP(AP157,AP98:AZ132,11,FALSE)=0,11,VLOOKUP(AP157,AP98:AZ132,11,FALSE))</f>
        <v>3</v>
      </c>
      <c r="BA157" s="1162"/>
      <c r="BB157" s="1162"/>
      <c r="BC157" s="1162"/>
      <c r="BD157" s="1162"/>
      <c r="BE157" s="1162" t="str">
        <f t="shared" si="43"/>
        <v>Semiconductors</v>
      </c>
      <c r="BF157" s="1162">
        <f>IF(VLOOKUP(BE157,BE98:BO132,2,FALSE)=0,BR133,VLOOKUP(BE157,BE98:BO132,2,FALSE))</f>
        <v>2</v>
      </c>
      <c r="BG157" s="1162">
        <f>IF(VLOOKUP(BE157,BE98:BO132,3,FALSE)=0,BR133,VLOOKUP(BE157,BE98:BO132,3,FALSE))</f>
        <v>3</v>
      </c>
      <c r="BH157" s="1162">
        <f>IF(VLOOKUP(BE157,BE98:BO132,4,FALSE)=0,BR133,VLOOKUP(BE157,BE98:BO132,4,FALSE))</f>
        <v>4</v>
      </c>
      <c r="BI157" s="1162">
        <f>IF(VLOOKUP(BE157,BE98:BO132,5,FALSE)=0,BR133,VLOOKUP(BE157,BE98:BO132,5,FALSE))</f>
        <v>4</v>
      </c>
      <c r="BJ157" s="1162">
        <f>IF(VLOOKUP(BE157,BE98:BO132,6,FALSE)=0,BR133,VLOOKUP(BE157,BE98:BO132,6,FALSE))</f>
        <v>4</v>
      </c>
      <c r="BK157" s="1162">
        <f>IF(VLOOKUP(BE157,BE98:BO132,7,FALSE)=0,BR133,VLOOKUP(BE157,BE98:BO132,7,FALSE))</f>
        <v>4</v>
      </c>
      <c r="BL157" s="1162">
        <f>IF(VLOOKUP(BE157,BE98:BO132,8,FALSE)=0,BR133,VLOOKUP(BE157,BE98:BO132,8,FALSE))</f>
        <v>3</v>
      </c>
      <c r="BM157" s="1162">
        <f>IF(VLOOKUP(BE157,BE98:BO132,9,FALSE)=0,BR133,VLOOKUP(BE157,BE98:BO132,9,FALSE))</f>
        <v>3</v>
      </c>
      <c r="BN157" s="1162">
        <f>IF(VLOOKUP(BE157,BE98:BO132,10,FALSE)=0,BR133,VLOOKUP(BE157,BE98:BO132,10,FALSE))</f>
        <v>5</v>
      </c>
      <c r="BO157" s="1162">
        <f>IF(VLOOKUP(BE157,BE98:BO132,11,FALSE)=0,BR133,VLOOKUP(BE157,BE98:BO132,11,FALSE))</f>
        <v>5</v>
      </c>
      <c r="BP157" s="1162">
        <f t="shared" si="47"/>
        <v>4</v>
      </c>
      <c r="BQ157" s="1162"/>
      <c r="BR157" s="1162"/>
      <c r="BS157" s="1162"/>
      <c r="BT157" s="1162"/>
      <c r="BU157" s="1163" t="str">
        <f t="shared" si="44"/>
        <v>Measurement</v>
      </c>
      <c r="BV157" s="1162">
        <f t="shared" si="30"/>
        <v>2</v>
      </c>
      <c r="BW157" s="1162">
        <f t="shared" si="31"/>
        <v>3</v>
      </c>
      <c r="BX157" s="1162">
        <f t="shared" si="32"/>
        <v>3</v>
      </c>
      <c r="BY157" s="1162">
        <f t="shared" si="33"/>
        <v>3</v>
      </c>
      <c r="BZ157" s="1162">
        <f t="shared" si="34"/>
        <v>3</v>
      </c>
      <c r="CA157" s="1162">
        <f t="shared" si="35"/>
        <v>3</v>
      </c>
      <c r="CB157" s="1162">
        <f t="shared" si="36"/>
        <v>3</v>
      </c>
      <c r="CC157" s="1162">
        <f t="shared" si="37"/>
        <v>2</v>
      </c>
      <c r="CD157" s="1162">
        <f t="shared" si="38"/>
        <v>2</v>
      </c>
      <c r="CE157" s="1162">
        <f t="shared" si="39"/>
        <v>8</v>
      </c>
      <c r="CF157" s="1162">
        <f>CF107</f>
        <v>2</v>
      </c>
      <c r="CG157" s="1162"/>
      <c r="CH157" s="1162"/>
      <c r="CI157" s="1162"/>
      <c r="CJ157" s="1162"/>
      <c r="CK157" s="1162" t="str">
        <f t="shared" si="45"/>
        <v>Electrical machinery, apparatus, energy</v>
      </c>
      <c r="CL157" s="1162">
        <f>IF(VLOOKUP(CK157,CK98:CU132,2,FALSE)=0,CX133,VLOOKUP(CK157,CK98:CU132,2,FALSE))</f>
        <v>5</v>
      </c>
      <c r="CM157" s="1162">
        <f>IF(VLOOKUP(CK157,CK98:CU132,3,FALSE)=0,CX133,VLOOKUP(CK157,CK98:CU132,3,FALSE))</f>
        <v>4</v>
      </c>
      <c r="CN157" s="1162">
        <f>IF(VLOOKUP(CK157,CK98:CU132,4,FALSE)=0,CX133,VLOOKUP(CK157,CK98:CU132,4,FALSE))</f>
        <v>4</v>
      </c>
      <c r="CO157" s="1162">
        <f>IF(VLOOKUP(CK157,CK98:CU132,5,FALSE)=0,CX133,VLOOKUP(CK157,CK98:CU132,5,FALSE))</f>
        <v>4</v>
      </c>
      <c r="CP157" s="1162">
        <f>IF(VLOOKUP(CK157,CK98:CU132,6,FALSE)=0,CX133,VLOOKUP(CK157,CK98:CU132,6,FALSE))</f>
        <v>4</v>
      </c>
      <c r="CQ157" s="1162">
        <f>IF(VLOOKUP(CK157,CK98:CU132,7,FALSE)=0,CX133,VLOOKUP(CK157,CK98:CU132,7,FALSE))</f>
        <v>4</v>
      </c>
      <c r="CR157" s="1162">
        <f>IF(VLOOKUP(CK157,CK98:CU132,8,FALSE)=0,CX133,VLOOKUP(CK157,CK98:CU132,8,FALSE))</f>
        <v>4</v>
      </c>
      <c r="CS157" s="1162">
        <f>IF(VLOOKUP(CK157,CK98:CU132,9,FALSE)=0,CX133,VLOOKUP(CK157,CK98:CU132,9,FALSE))</f>
        <v>4</v>
      </c>
      <c r="CT157" s="1162">
        <f>IF(VLOOKUP(CK157,CK98:CU132,10,FALSE)=0,CX133,VLOOKUP(CK157,CK98:CU132,10,FALSE))</f>
        <v>4</v>
      </c>
      <c r="CU157" s="1162">
        <f>IF(VLOOKUP(CK157,CK98:CU132,11,FALSE)=0,CX133,VLOOKUP(CK157,CK98:CU132,11,FALSE))</f>
        <v>4</v>
      </c>
      <c r="CV157" s="1162">
        <v>4</v>
      </c>
      <c r="CW157" s="1162"/>
      <c r="CX157" s="1162"/>
      <c r="CY157" s="1162"/>
      <c r="CZ157" s="834"/>
      <c r="DA157" s="834"/>
      <c r="DB157" s="834"/>
      <c r="DC157" s="834"/>
      <c r="DD157" s="839"/>
      <c r="DE157" s="1098"/>
      <c r="DF157" s="1098"/>
      <c r="DG157" s="1098"/>
      <c r="DH157" s="1098"/>
      <c r="DI157" s="1098"/>
      <c r="DJ157" s="1098"/>
      <c r="DK157" s="1098"/>
      <c r="DL157" s="1098"/>
      <c r="DM157" s="1098"/>
      <c r="DN157" s="1098"/>
      <c r="DO157" s="1098"/>
    </row>
    <row r="158" spans="25:119" s="1086" customFormat="1">
      <c r="Y158" s="1113">
        <f t="shared" si="23"/>
        <v>9</v>
      </c>
      <c r="Z158" s="1162" t="str">
        <f t="shared" si="40"/>
        <v>Computer technology</v>
      </c>
      <c r="AA158" s="1162">
        <f>IF(VLOOKUP(Z158,Z98:AJ132,2,FALSE)=0,11,VLOOKUP(Z158,Z98:AJ132,2,FALSE))</f>
        <v>4</v>
      </c>
      <c r="AB158" s="1162">
        <f>IF(VLOOKUP(Z158,Z98:AJ132,3,FALSE)=0,11,VLOOKUP(Z158,Z98:AJ132,3,FALSE))</f>
        <v>4</v>
      </c>
      <c r="AC158" s="1162">
        <f>IF(VLOOKUP(Z158,Z98:AJ132,4,FALSE)=0,11,VLOOKUP(Z158,Z98:AJ132,4,FALSE))</f>
        <v>4</v>
      </c>
      <c r="AD158" s="1162">
        <f>IF(VLOOKUP(Z158,Z98:AJ132,5,FALSE)=0,11,VLOOKUP(Z158,Z98:AJ132,5,FALSE))</f>
        <v>3</v>
      </c>
      <c r="AE158" s="1162">
        <f>IF(VLOOKUP(Z158,Z98:AJ132,6,FALSE)=0,11,VLOOKUP(Z158,Z98:AJ132,6,FALSE))</f>
        <v>3</v>
      </c>
      <c r="AF158" s="1162">
        <f>IF(VLOOKUP(Z158,Z98:AJ132,7,FALSE)=0,11,VLOOKUP(Z158,Z98:AJ132,7,FALSE))</f>
        <v>3</v>
      </c>
      <c r="AG158" s="1162">
        <f>IF(VLOOKUP(Z158,Z98:AJ132,8,FALSE)=0,11,VLOOKUP(Z158,Z98:AJ132,8,FALSE))</f>
        <v>3</v>
      </c>
      <c r="AH158" s="1162">
        <f>IF(VLOOKUP(Z158,Z98:AJ132,9,FALSE)=0,11,VLOOKUP(Z158,Z98:AJ132,9,FALSE))</f>
        <v>3</v>
      </c>
      <c r="AI158" s="1162">
        <f>IF(VLOOKUP(Z158,Z98:AJ132,10,FALSE)=0,11,VLOOKUP(Z158,Z98:AJ132,10,FALSE))</f>
        <v>3</v>
      </c>
      <c r="AJ158" s="1162">
        <f>IF(VLOOKUP(Z158,Z98:AJ132,11,FALSE)=0,11,VLOOKUP(Z158,Z98:AJ132,11,FALSE))</f>
        <v>3</v>
      </c>
      <c r="AK158" s="1162">
        <v>3</v>
      </c>
      <c r="AL158" s="1162"/>
      <c r="AM158" s="1162"/>
      <c r="AN158" s="1162"/>
      <c r="AO158" s="1162"/>
      <c r="AP158" s="1162" t="str">
        <f t="shared" si="42"/>
        <v>Engines, pumps, turbines</v>
      </c>
      <c r="AQ158" s="1162">
        <f>IF(VLOOKUP(AP158,AP98:AZ132,2,FALSE)=0,"",VLOOKUP(AP158,AP98:AZ132,2,FALSE))</f>
        <v>10</v>
      </c>
      <c r="AR158" s="1162">
        <f>IF(VLOOKUP(AP158,AP98:AZ132,3,FALSE)=0,11,VLOOKUP(AP158,AP98:AZ132,3,FALSE))</f>
        <v>10</v>
      </c>
      <c r="AS158" s="1162">
        <f>IF(VLOOKUP(AP158,AP98:AZ132,4,FALSE)=0,11,VLOOKUP(AP158,AP98:AZ132,4,FALSE))</f>
        <v>10</v>
      </c>
      <c r="AT158" s="1162">
        <f>IF(VLOOKUP(AP158,AP98:AZ132,5,FALSE)=0,11,VLOOKUP(AP158,AP98:AZ132,5,FALSE))</f>
        <v>11</v>
      </c>
      <c r="AU158" s="1162">
        <f>IF(VLOOKUP(AP158,AP98:AZ132,6,FALSE)=0,11,VLOOKUP(AP158,AP98:AZ132,6,FALSE))</f>
        <v>11</v>
      </c>
      <c r="AV158" s="1162">
        <f>IF(VLOOKUP(AP158,AP98:AZ132,7,FALSE)=0,11,VLOOKUP(AP158,AP98:AZ132,7,FALSE))</f>
        <v>11</v>
      </c>
      <c r="AW158" s="1162">
        <f>IF(VLOOKUP(AP158,AP98:AZ132,8,FALSE)=0,11,VLOOKUP(AP158,AP98:AZ132,7,FALSE))</f>
        <v>11</v>
      </c>
      <c r="AX158" s="1162">
        <f>IF(VLOOKUP(AP158,AP98:AZ132,9,FALSE)=0,11,VLOOKUP(AP158,AP98:AZ132,9,FALSE))</f>
        <v>11</v>
      </c>
      <c r="AY158" s="1162">
        <f>IF(VLOOKUP(AP158,AP98:AZ132,10,FALSE)=0,11,VLOOKUP(AP158,AP98:AZ132,10,FALSE))</f>
        <v>11</v>
      </c>
      <c r="AZ158" s="1163">
        <f>IF(VLOOKUP(AP158,AP98:AZ132,11,FALSE)=0,11,VLOOKUP(AP158,AP98:AZ132,11,FALSE))</f>
        <v>11</v>
      </c>
      <c r="BA158" s="1162"/>
      <c r="BB158" s="1162"/>
      <c r="BC158" s="1162"/>
      <c r="BD158" s="1162"/>
      <c r="BE158" s="1162" t="str">
        <f t="shared" si="43"/>
        <v>Audio-visual technology</v>
      </c>
      <c r="BF158" s="1162">
        <f>IF(VLOOKUP(BE158,BE98:BO132,2,FALSE)=0,BR133,VLOOKUP(BE158,BE98:BO132,2,FALSE))</f>
        <v>8</v>
      </c>
      <c r="BG158" s="1162">
        <f>IF(VLOOKUP(BE158,BE98:BO132,3,FALSE)=0,BR133,VLOOKUP(BE158,BE98:BO132,3,FALSE))</f>
        <v>8</v>
      </c>
      <c r="BH158" s="1162">
        <f>IF(VLOOKUP(BE158,BE98:BO132,4,FALSE)=0,BR133,VLOOKUP(BE158,BE98:BO132,4,FALSE))</f>
        <v>13</v>
      </c>
      <c r="BI158" s="1162">
        <f>IF(VLOOKUP(BE158,BE98:BO132,5,FALSE)=0,BR133,VLOOKUP(BE158,BE98:BO132,5,FALSE))</f>
        <v>10</v>
      </c>
      <c r="BJ158" s="1162">
        <f>IF(VLOOKUP(BE158,BE98:BO132,6,FALSE)=0,BR133,VLOOKUP(BE158,BE98:BO132,6,FALSE))</f>
        <v>13</v>
      </c>
      <c r="BK158" s="1162">
        <f>IF(VLOOKUP(BE158,BE98:BO132,7,FALSE)=0,BR133,VLOOKUP(BE158,BE98:BO132,7,FALSE))</f>
        <v>13</v>
      </c>
      <c r="BL158" s="1162">
        <f>IF(VLOOKUP(BE158,BE98:BO132,8,FALSE)=0,BR133,VLOOKUP(BE158,BE98:BO132,8,FALSE))</f>
        <v>13</v>
      </c>
      <c r="BM158" s="1162">
        <f>IF(VLOOKUP(BE158,BE98:BO132,9,FALSE)=0,BR133,VLOOKUP(BE158,BE98:BO132,9,FALSE))</f>
        <v>13</v>
      </c>
      <c r="BN158" s="1162">
        <f>IF(VLOOKUP(BE158,BE98:BO132,10,FALSE)=0,BR133,VLOOKUP(BE158,BE98:BO132,10,FALSE))</f>
        <v>13</v>
      </c>
      <c r="BO158" s="1162">
        <f>IF(VLOOKUP(BE158,BE98:BO132,11,FALSE)=0,BR133,VLOOKUP(BE158,BE98:BO132,11,FALSE))</f>
        <v>13</v>
      </c>
      <c r="BP158" s="1162">
        <v>9</v>
      </c>
      <c r="BQ158" s="1162"/>
      <c r="BR158" s="1162"/>
      <c r="BS158" s="1162"/>
      <c r="BT158" s="1162"/>
      <c r="BU158" s="1163" t="str">
        <f t="shared" si="44"/>
        <v>Materials, metallurgy</v>
      </c>
      <c r="BV158" s="1162">
        <f t="shared" si="30"/>
        <v>6</v>
      </c>
      <c r="BW158" s="1162">
        <f t="shared" si="31"/>
        <v>11</v>
      </c>
      <c r="BX158" s="1162">
        <f t="shared" si="32"/>
        <v>10</v>
      </c>
      <c r="BY158" s="1162">
        <f t="shared" si="33"/>
        <v>10</v>
      </c>
      <c r="BZ158" s="1162">
        <f t="shared" si="34"/>
        <v>11</v>
      </c>
      <c r="CA158" s="1162">
        <f t="shared" si="35"/>
        <v>11</v>
      </c>
      <c r="CB158" s="1162">
        <f t="shared" si="36"/>
        <v>11</v>
      </c>
      <c r="CC158" s="1162">
        <f t="shared" si="37"/>
        <v>11</v>
      </c>
      <c r="CD158" s="1162">
        <f t="shared" si="38"/>
        <v>11</v>
      </c>
      <c r="CE158" s="1162">
        <f t="shared" si="39"/>
        <v>11</v>
      </c>
      <c r="CF158" s="1162">
        <v>13</v>
      </c>
      <c r="CG158" s="1162"/>
      <c r="CH158" s="1162"/>
      <c r="CI158" s="1162"/>
      <c r="CJ158" s="1162"/>
      <c r="CK158" s="1162" t="str">
        <f t="shared" si="45"/>
        <v>Medical technology</v>
      </c>
      <c r="CL158" s="1162">
        <f>IF(VLOOKUP(CK158,CK98:CU132,2,FALSE)=0,CX133,VLOOKUP(CK158,CK98:CU132,2,FALSE))</f>
        <v>2</v>
      </c>
      <c r="CM158" s="1162">
        <f>IF(VLOOKUP(CK158,CK98:CU132,3,FALSE)=0,CX133,VLOOKUP(CK158,CK98:CU132,3,FALSE))</f>
        <v>3</v>
      </c>
      <c r="CN158" s="1162">
        <f>IF(VLOOKUP(CK158,CK98:CU132,4,FALSE)=0,CX133,VLOOKUP(CK158,CK98:CU132,4,FALSE))</f>
        <v>3</v>
      </c>
      <c r="CO158" s="1162">
        <f>IF(VLOOKUP(CK158,CK98:CU132,5,FALSE)=0,CX133,VLOOKUP(CK158,CK98:CU132,5,FALSE))</f>
        <v>3</v>
      </c>
      <c r="CP158" s="1162">
        <f>IF(VLOOKUP(CK158,CK98:CU132,6,FALSE)=0,CX133,VLOOKUP(CK158,CK98:CU132,6,FALSE))</f>
        <v>3</v>
      </c>
      <c r="CQ158" s="1162">
        <f>IF(VLOOKUP(CK158,CK98:CU132,7,FALSE)=0,CX133,VLOOKUP(CK158,CK98:CU132,7,FALSE))</f>
        <v>3</v>
      </c>
      <c r="CR158" s="1162">
        <f>IF(VLOOKUP(CK158,CK98:CU132,8,FALSE)=0,CX133,VLOOKUP(CK158,CK98:CU132,8,FALSE))</f>
        <v>3</v>
      </c>
      <c r="CS158" s="1162">
        <f>IF(VLOOKUP(CK158,CK98:CU132,9,FALSE)=0,CX133,VLOOKUP(CK158,CK98:CU132,9,FALSE))</f>
        <v>3</v>
      </c>
      <c r="CT158" s="1162">
        <f>IF(VLOOKUP(CK158,CK98:CU132,10,FALSE)=0,CX133,VLOOKUP(CK158,CK98:CU132,10,FALSE))</f>
        <v>3</v>
      </c>
      <c r="CU158" s="1162">
        <f>IF(VLOOKUP(CK158,CK98:CU132,11,FALSE)=0,CX133,VLOOKUP(CK158,CK98:CU132,11,FALSE))</f>
        <v>3</v>
      </c>
      <c r="CV158" s="1162">
        <f t="shared" si="46"/>
        <v>3</v>
      </c>
      <c r="CW158" s="1162"/>
      <c r="CX158" s="1162"/>
      <c r="CY158" s="1162"/>
      <c r="CZ158" s="834"/>
      <c r="DA158" s="834"/>
      <c r="DB158" s="834"/>
      <c r="DC158" s="834"/>
      <c r="DD158" s="839"/>
      <c r="DE158" s="1098"/>
      <c r="DF158" s="1098"/>
      <c r="DG158" s="1098"/>
      <c r="DH158" s="1098"/>
      <c r="DI158" s="1098"/>
      <c r="DJ158" s="1098"/>
      <c r="DK158" s="1098"/>
      <c r="DL158" s="1098"/>
      <c r="DM158" s="1098"/>
      <c r="DN158" s="1098"/>
      <c r="DO158" s="1098"/>
    </row>
    <row r="159" spans="25:119" s="1086" customFormat="1">
      <c r="Y159" s="1113">
        <f t="shared" si="23"/>
        <v>10</v>
      </c>
      <c r="Z159" s="1162" t="str">
        <f t="shared" si="40"/>
        <v>Digital communication</v>
      </c>
      <c r="AA159" s="1162">
        <f>IF(VLOOKUP(Z159,Z98:AJ132,2,FALSE)=0,11,VLOOKUP(Z159,Z98:AJ132,2,FALSE))</f>
        <v>3</v>
      </c>
      <c r="AB159" s="1162">
        <f>IF(VLOOKUP(Z159,Z98:AJ132,3,FALSE)=0,11,VLOOKUP(Z159,Z98:AJ132,3,FALSE))</f>
        <v>3</v>
      </c>
      <c r="AC159" s="1162">
        <f>IF(VLOOKUP(Z159,Z98:AJ132,4,FALSE)=0,11,VLOOKUP(Z159,Z98:AJ132,4,FALSE))</f>
        <v>2</v>
      </c>
      <c r="AD159" s="1162">
        <f>IF(VLOOKUP(Z159,Z98:AJ132,5,FALSE)=0,11,VLOOKUP(Z159,Z98:AJ132,5,FALSE))</f>
        <v>2</v>
      </c>
      <c r="AE159" s="1162">
        <f>IF(VLOOKUP(Z159,Z98:AJ132,6,FALSE)=0,11,VLOOKUP(Z159,Z98:AJ132,6,FALSE))</f>
        <v>2</v>
      </c>
      <c r="AF159" s="1162">
        <f>IF(VLOOKUP(Z159,Z98:AJ132,7,FALSE)=0,11,VLOOKUP(Z159,Z98:AJ132,7,FALSE))</f>
        <v>2</v>
      </c>
      <c r="AG159" s="1162">
        <f>IF(VLOOKUP(Z159,Z98:AJ132,8,FALSE)=0,11,VLOOKUP(Z159,Z98:AJ132,8,FALSE))</f>
        <v>2</v>
      </c>
      <c r="AH159" s="1162">
        <f>IF(VLOOKUP(Z159,Z98:AJ132,9,FALSE)=0,11,VLOOKUP(Z159,Z98:AJ132,9,FALSE))</f>
        <v>1</v>
      </c>
      <c r="AI159" s="1162">
        <f>IF(VLOOKUP(Z159,Z98:AJ132,10,FALSE)=0,11,VLOOKUP(Z159,Z98:AJ132,10,FALSE))</f>
        <v>2</v>
      </c>
      <c r="AJ159" s="1162">
        <f>IF(VLOOKUP(Z159,Z98:AJ132,11,FALSE)=0,11,VLOOKUP(Z159,Z98:AJ132,11,FALSE))</f>
        <v>1</v>
      </c>
      <c r="AK159" s="1162">
        <v>1</v>
      </c>
      <c r="AL159" s="1162"/>
      <c r="AM159" s="1162"/>
      <c r="AN159" s="1162"/>
      <c r="AO159" s="1162"/>
      <c r="AP159" s="1162" t="str">
        <f t="shared" si="42"/>
        <v>Computer technology</v>
      </c>
      <c r="AQ159" s="1162">
        <f>IF(VLOOKUP(AP159,AP98:AZ132,2,FALSE)=0,"",VLOOKUP(AP159,AP98:AZ132,2,FALSE))</f>
        <v>3</v>
      </c>
      <c r="AR159" s="1162">
        <f>IF(VLOOKUP(AP159,AP98:AZ132,3,FALSE)=0,11,VLOOKUP(AP159,AP98:AZ132,3,FALSE))</f>
        <v>2</v>
      </c>
      <c r="AS159" s="1162">
        <f>IF(VLOOKUP(AP159,AP98:AZ132,4,FALSE)=0,11,VLOOKUP(AP159,AP98:AZ132,4,FALSE))</f>
        <v>2</v>
      </c>
      <c r="AT159" s="1162">
        <f>IF(VLOOKUP(AP159,AP98:AZ132,5,FALSE)=0,11,VLOOKUP(AP159,AP98:AZ132,5,FALSE))</f>
        <v>2</v>
      </c>
      <c r="AU159" s="1162">
        <f>IF(VLOOKUP(AP159,AP98:AZ132,6,FALSE)=0,11,VLOOKUP(AP159,AP98:AZ132,6,FALSE))</f>
        <v>3</v>
      </c>
      <c r="AV159" s="1162">
        <f>IF(VLOOKUP(AP159,AP98:AZ132,7,FALSE)=0,11,VLOOKUP(AP159,AP98:AZ132,7,FALSE))</f>
        <v>3</v>
      </c>
      <c r="AW159" s="1162">
        <f>IF(VLOOKUP(AP159,AP98:AZ132,8,FALSE)=0,11,VLOOKUP(AP159,AP98:AZ132,7,FALSE))</f>
        <v>3</v>
      </c>
      <c r="AX159" s="1162">
        <f>IF(VLOOKUP(AP159,AP98:AZ132,9,FALSE)=0,11,VLOOKUP(AP159,AP98:AZ132,9,FALSE))</f>
        <v>3</v>
      </c>
      <c r="AY159" s="1162">
        <f>IF(VLOOKUP(AP159,AP98:AZ132,10,FALSE)=0,11,VLOOKUP(AP159,AP98:AZ132,10,FALSE))</f>
        <v>3</v>
      </c>
      <c r="AZ159" s="1163">
        <f>IF(VLOOKUP(AP159,AP98:AZ132,11,FALSE)=0,11,VLOOKUP(AP159,AP98:AZ132,11,FALSE))</f>
        <v>2</v>
      </c>
      <c r="BA159" s="1162"/>
      <c r="BB159" s="1162"/>
      <c r="BC159" s="1162"/>
      <c r="BD159" s="1162"/>
      <c r="BE159" s="1162" t="str">
        <f t="shared" si="43"/>
        <v>Computer technology</v>
      </c>
      <c r="BF159" s="1162">
        <f>IF(VLOOKUP(BE159,BE98:BO132,2,FALSE)=0,BR133,VLOOKUP(BE159,BE98:BO132,2,FALSE))</f>
        <v>3</v>
      </c>
      <c r="BG159" s="1162">
        <f>IF(VLOOKUP(BE159,BE98:BO132,3,FALSE)=0,BR133,VLOOKUP(BE159,BE98:BO132,3,FALSE))</f>
        <v>2</v>
      </c>
      <c r="BH159" s="1162">
        <f>IF(VLOOKUP(BE159,BE98:BO132,4,FALSE)=0,BR133,VLOOKUP(BE159,BE98:BO132,4,FALSE))</f>
        <v>2</v>
      </c>
      <c r="BI159" s="1162">
        <f>IF(VLOOKUP(BE159,BE98:BO132,5,FALSE)=0,BR133,VLOOKUP(BE159,BE98:BO132,5,FALSE))</f>
        <v>2</v>
      </c>
      <c r="BJ159" s="1162">
        <f>IF(VLOOKUP(BE159,BE98:BO132,6,FALSE)=0,BR133,VLOOKUP(BE159,BE98:BO132,6,FALSE))</f>
        <v>2</v>
      </c>
      <c r="BK159" s="1162">
        <f>IF(VLOOKUP(BE159,BE98:BO132,7,FALSE)=0,BR133,VLOOKUP(BE159,BE98:BO132,7,FALSE))</f>
        <v>2</v>
      </c>
      <c r="BL159" s="1162">
        <f>IF(VLOOKUP(BE159,BE98:BO132,8,FALSE)=0,BR133,VLOOKUP(BE159,BE98:BO132,8,FALSE))</f>
        <v>2</v>
      </c>
      <c r="BM159" s="1162">
        <f>IF(VLOOKUP(BE159,BE98:BO132,9,FALSE)=0,BR133,VLOOKUP(BE159,BE98:BO132,9,FALSE))</f>
        <v>2</v>
      </c>
      <c r="BN159" s="1162">
        <f>IF(VLOOKUP(BE159,BE98:BO132,10,FALSE)=0,BR133,VLOOKUP(BE159,BE98:BO132,10,FALSE))</f>
        <v>2</v>
      </c>
      <c r="BO159" s="1162">
        <f>IF(VLOOKUP(BE159,BE98:BO132,11,FALSE)=0,BR133,VLOOKUP(BE159,BE98:BO132,11,FALSE))</f>
        <v>2</v>
      </c>
      <c r="BP159" s="1162">
        <v>2</v>
      </c>
      <c r="BQ159" s="1162"/>
      <c r="BR159" s="1162"/>
      <c r="BS159" s="1162"/>
      <c r="BT159" s="1162"/>
      <c r="BU159" s="1163" t="str">
        <f t="shared" si="44"/>
        <v>Handling</v>
      </c>
      <c r="BV159" s="1162">
        <f t="shared" si="30"/>
        <v>11</v>
      </c>
      <c r="BW159" s="1162">
        <f t="shared" si="31"/>
        <v>11</v>
      </c>
      <c r="BX159" s="1162">
        <f t="shared" si="32"/>
        <v>11</v>
      </c>
      <c r="BY159" s="1162">
        <f t="shared" si="33"/>
        <v>11</v>
      </c>
      <c r="BZ159" s="1162">
        <f t="shared" si="34"/>
        <v>11</v>
      </c>
      <c r="CA159" s="1162">
        <f t="shared" si="35"/>
        <v>11</v>
      </c>
      <c r="CB159" s="1162">
        <f t="shared" si="36"/>
        <v>11</v>
      </c>
      <c r="CC159" s="1162">
        <f t="shared" si="37"/>
        <v>10</v>
      </c>
      <c r="CD159" s="1162">
        <f t="shared" si="38"/>
        <v>9</v>
      </c>
      <c r="CE159" s="1162">
        <f t="shared" si="39"/>
        <v>11</v>
      </c>
      <c r="CF159" s="1162">
        <v>12</v>
      </c>
      <c r="CG159" s="1162"/>
      <c r="CH159" s="1162"/>
      <c r="CI159" s="1162"/>
      <c r="CJ159" s="1162"/>
      <c r="CK159" s="1162" t="str">
        <f t="shared" si="45"/>
        <v>Digital communication</v>
      </c>
      <c r="CL159" s="1162">
        <f>IF(VLOOKUP(CK159,CK98:CU132,2,FALSE)=0,CX133,VLOOKUP(CK159,CK98:CU132,2,FALSE))</f>
        <v>4</v>
      </c>
      <c r="CM159" s="1162">
        <f>IF(VLOOKUP(CK159,CK98:CU132,3,FALSE)=0,CX133,VLOOKUP(CK159,CK98:CU132,3,FALSE))</f>
        <v>2</v>
      </c>
      <c r="CN159" s="1162">
        <f>IF(VLOOKUP(CK159,CK98:CU132,4,FALSE)=0,CX133,VLOOKUP(CK159,CK98:CU132,4,FALSE))</f>
        <v>2</v>
      </c>
      <c r="CO159" s="1162">
        <f>IF(VLOOKUP(CK159,CK98:CU132,5,FALSE)=0,CX133,VLOOKUP(CK159,CK98:CU132,5,FALSE))</f>
        <v>2</v>
      </c>
      <c r="CP159" s="1162">
        <f>IF(VLOOKUP(CK159,CK98:CU132,6,FALSE)=0,CX133,VLOOKUP(CK159,CK98:CU132,6,FALSE))</f>
        <v>2</v>
      </c>
      <c r="CQ159" s="1162">
        <f>IF(VLOOKUP(CK159,CK98:CU132,7,FALSE)=0,CX133,VLOOKUP(CK159,CK98:CU132,7,FALSE))</f>
        <v>2</v>
      </c>
      <c r="CR159" s="1162">
        <f>IF(VLOOKUP(CK159,CK98:CU132,8,FALSE)=0,CX133,VLOOKUP(CK159,CK98:CU132,8,FALSE))</f>
        <v>2</v>
      </c>
      <c r="CS159" s="1162">
        <f>IF(VLOOKUP(CK159,CK98:CU132,9,FALSE)=0,CX133,VLOOKUP(CK159,CK98:CU132,9,FALSE))</f>
        <v>2</v>
      </c>
      <c r="CT159" s="1162">
        <f>IF(VLOOKUP(CK159,CK98:CU132,10,FALSE)=0,CX133,VLOOKUP(CK159,CK98:CU132,10,FALSE))</f>
        <v>2</v>
      </c>
      <c r="CU159" s="1162">
        <f>IF(VLOOKUP(CK159,CK98:CU132,11,FALSE)=0,CX133,VLOOKUP(CK159,CK98:CU132,11,FALSE))</f>
        <v>2</v>
      </c>
      <c r="CV159" s="1162">
        <v>2</v>
      </c>
      <c r="CW159" s="1162"/>
      <c r="CX159" s="1162"/>
      <c r="CY159" s="1162"/>
      <c r="CZ159" s="834"/>
      <c r="DA159" s="834"/>
      <c r="DB159" s="834"/>
      <c r="DC159" s="834"/>
      <c r="DD159" s="839"/>
      <c r="DE159" s="1098"/>
      <c r="DF159" s="1098"/>
      <c r="DG159" s="1098"/>
      <c r="DH159" s="1098"/>
      <c r="DI159" s="1098"/>
      <c r="DJ159" s="1098"/>
      <c r="DK159" s="1098"/>
      <c r="DL159" s="1098"/>
      <c r="DM159" s="1098"/>
      <c r="DN159" s="1098"/>
      <c r="DO159" s="1098"/>
    </row>
    <row r="160" spans="25:119" s="1086" customFormat="1">
      <c r="Y160" s="1113">
        <f t="shared" si="23"/>
        <v>11</v>
      </c>
      <c r="Z160" s="1162" t="str">
        <f t="shared" si="40"/>
        <v>Medical technology</v>
      </c>
      <c r="AA160" s="1162">
        <f>IF(VLOOKUP(Z160,Z98:AJ132,2,FALSE)=0,11,VLOOKUP(Z160,Z98:AJ132,2,FALSE))</f>
        <v>1</v>
      </c>
      <c r="AB160" s="1162">
        <f>IF(VLOOKUP(Z160,Z98:AJ132,3,FALSE)=0,11,VLOOKUP(Z160,Z98:AJ132,3,FALSE))</f>
        <v>1</v>
      </c>
      <c r="AC160" s="1162">
        <f>IF(VLOOKUP(Z160,Z98:AJ132,4,FALSE)=0,11,VLOOKUP(Z160,Z98:AJ132,4,FALSE))</f>
        <v>1</v>
      </c>
      <c r="AD160" s="1162">
        <f>IF(VLOOKUP(Z160,Z98:AJ132,5,FALSE)=0,11,VLOOKUP(Z160,Z98:AJ132,5,FALSE))</f>
        <v>1</v>
      </c>
      <c r="AE160" s="1162">
        <f>IF(VLOOKUP(Z160,Z98:AJ132,6,FALSE)=0,11,VLOOKUP(Z160,Z98:AJ132,6,FALSE))</f>
        <v>1</v>
      </c>
      <c r="AF160" s="1162">
        <f>IF(VLOOKUP(Z160,Z98:AJ132,7,FALSE)=0,11,VLOOKUP(Z160,Z98:AJ132,7,FALSE))</f>
        <v>1</v>
      </c>
      <c r="AG160" s="1162">
        <f>IF(VLOOKUP(Z160,Z98:AJ132,8,FALSE)=0,11,VLOOKUP(Z160,Z98:AJ132,8,FALSE))</f>
        <v>1</v>
      </c>
      <c r="AH160" s="1162">
        <f>IF(VLOOKUP(Z160,Z98:AJ132,9,FALSE)=0,11,VLOOKUP(Z160,Z98:AJ132,9,FALSE))</f>
        <v>2</v>
      </c>
      <c r="AI160" s="1162">
        <f>IF(VLOOKUP(Z160,Z98:AJ132,10,FALSE)=0,11,VLOOKUP(Z160,Z98:AJ132,10,FALSE))</f>
        <v>1</v>
      </c>
      <c r="AJ160" s="1162">
        <f>IF(VLOOKUP(Z160,Z98:AJ132,11,FALSE)=0,11,VLOOKUP(Z160,Z98:AJ132,11,FALSE))</f>
        <v>2</v>
      </c>
      <c r="AK160" s="1162">
        <f t="shared" si="41"/>
        <v>2</v>
      </c>
      <c r="AL160" s="1162"/>
      <c r="AM160" s="1162"/>
      <c r="AN160" s="1162"/>
      <c r="AO160" s="1162"/>
      <c r="AP160" s="1162" t="str">
        <f t="shared" si="42"/>
        <v>Electrical machinery, apparatus, energy</v>
      </c>
      <c r="AQ160" s="1162">
        <f>IF(VLOOKUP(AP160,AP98:AZ132,2,FALSE)=0,"",VLOOKUP(AP160,AP98:AZ132,2,FALSE))</f>
        <v>1</v>
      </c>
      <c r="AR160" s="1162">
        <f>IF(VLOOKUP(AP160,AP98:AZ132,3,FALSE)=0,11,VLOOKUP(AP160,AP98:AZ132,3,FALSE))</f>
        <v>1</v>
      </c>
      <c r="AS160" s="1162">
        <f>IF(VLOOKUP(AP160,AP98:AZ132,4,FALSE)=0,11,VLOOKUP(AP160,AP98:AZ132,4,FALSE))</f>
        <v>1</v>
      </c>
      <c r="AT160" s="1162">
        <f>IF(VLOOKUP(AP160,AP98:AZ132,5,FALSE)=0,11,VLOOKUP(AP160,AP98:AZ132,5,FALSE))</f>
        <v>1</v>
      </c>
      <c r="AU160" s="1162">
        <f>IF(VLOOKUP(AP160,AP98:AZ132,6,FALSE)=0,11,VLOOKUP(AP160,AP98:AZ132,6,FALSE))</f>
        <v>1</v>
      </c>
      <c r="AV160" s="1162">
        <f>IF(VLOOKUP(AP160,AP98:AZ132,7,FALSE)=0,11,VLOOKUP(AP160,AP98:AZ132,7,FALSE))</f>
        <v>1</v>
      </c>
      <c r="AW160" s="1162">
        <f>IF(VLOOKUP(AP160,AP98:AZ132,8,FALSE)=0,11,VLOOKUP(AP160,AP98:AZ132,7,FALSE))</f>
        <v>1</v>
      </c>
      <c r="AX160" s="1162">
        <f>IF(VLOOKUP(AP160,AP98:AZ132,9,FALSE)=0,11,VLOOKUP(AP160,AP98:AZ132,9,FALSE))</f>
        <v>1</v>
      </c>
      <c r="AY160" s="1162">
        <f>IF(VLOOKUP(AP160,AP98:AZ132,10,FALSE)=0,11,VLOOKUP(AP160,AP98:AZ132,10,FALSE))</f>
        <v>1</v>
      </c>
      <c r="AZ160" s="1163">
        <f>IF(VLOOKUP(AP160,AP98:AZ132,11,FALSE)=0,11,VLOOKUP(AP160,AP98:AZ132,11,FALSE))</f>
        <v>1</v>
      </c>
      <c r="BA160" s="1162"/>
      <c r="BB160" s="1162"/>
      <c r="BC160" s="1162"/>
      <c r="BD160" s="1162"/>
      <c r="BE160" s="1162" t="str">
        <f t="shared" si="43"/>
        <v>Electrical machinery, apparatus, energy</v>
      </c>
      <c r="BF160" s="1162">
        <f>IF(VLOOKUP(BE160,BE98:BO132,2,FALSE)=0,BR133,VLOOKUP(BE160,BE98:BO132,2,FALSE))</f>
        <v>1</v>
      </c>
      <c r="BG160" s="1162">
        <f>IF(VLOOKUP(BE160,BE98:BO132,3,FALSE)=0,BR133,VLOOKUP(BE160,BE98:BO132,3,FALSE))</f>
        <v>1</v>
      </c>
      <c r="BH160" s="1162">
        <f>IF(VLOOKUP(BE160,BE98:BO132,4,FALSE)=0,BR133,VLOOKUP(BE160,BE98:BO132,4,FALSE))</f>
        <v>1</v>
      </c>
      <c r="BI160" s="1162">
        <f>IF(VLOOKUP(BE160,BE98:BO132,5,FALSE)=0,BR133,VLOOKUP(BE160,BE98:BO132,5,FALSE))</f>
        <v>1</v>
      </c>
      <c r="BJ160" s="1162">
        <f>IF(VLOOKUP(BE160,BE98:BO132,6,FALSE)=0,BR133,VLOOKUP(BE160,BE98:BO132,6,FALSE))</f>
        <v>1</v>
      </c>
      <c r="BK160" s="1162">
        <f>IF(VLOOKUP(BE160,BE98:BO132,7,FALSE)=0,BR133,VLOOKUP(BE160,BE98:BO132,7,FALSE))</f>
        <v>1</v>
      </c>
      <c r="BL160" s="1162">
        <f>IF(VLOOKUP(BE160,BE98:BO132,8,FALSE)=0,BR133,VLOOKUP(BE160,BE98:BO132,8,FALSE))</f>
        <v>1</v>
      </c>
      <c r="BM160" s="1162">
        <f>IF(VLOOKUP(BE160,BE98:BO132,9,FALSE)=0,BR133,VLOOKUP(BE160,BE98:BO132,9,FALSE))</f>
        <v>1</v>
      </c>
      <c r="BN160" s="1162">
        <f>IF(VLOOKUP(BE160,BE98:BO132,10,FALSE)=0,BR133,VLOOKUP(BE160,BE98:BO132,10,FALSE))</f>
        <v>1</v>
      </c>
      <c r="BO160" s="1162">
        <f>IF(VLOOKUP(BE160,BE98:BO132,11,FALSE)=0,BR133,VLOOKUP(BE160,BE98:BO132,11,FALSE))</f>
        <v>1</v>
      </c>
      <c r="BP160" s="1162">
        <v>1</v>
      </c>
      <c r="BQ160" s="1162"/>
      <c r="BR160" s="1162"/>
      <c r="BS160" s="1162"/>
      <c r="BT160" s="1162"/>
      <c r="BU160" s="1163" t="str">
        <f t="shared" si="44"/>
        <v>Electrical machinery, apparatus, energy</v>
      </c>
      <c r="BV160" s="1162">
        <f t="shared" si="30"/>
        <v>1</v>
      </c>
      <c r="BW160" s="1162">
        <f t="shared" si="31"/>
        <v>1</v>
      </c>
      <c r="BX160" s="1162">
        <f t="shared" si="32"/>
        <v>1</v>
      </c>
      <c r="BY160" s="1162">
        <f t="shared" si="33"/>
        <v>1</v>
      </c>
      <c r="BZ160" s="1162">
        <f t="shared" si="34"/>
        <v>1</v>
      </c>
      <c r="CA160" s="1162">
        <f t="shared" si="35"/>
        <v>2</v>
      </c>
      <c r="CB160" s="1162">
        <f t="shared" si="36"/>
        <v>2</v>
      </c>
      <c r="CC160" s="1162">
        <f t="shared" si="37"/>
        <v>3</v>
      </c>
      <c r="CD160" s="1162">
        <f t="shared" si="38"/>
        <v>3</v>
      </c>
      <c r="CE160" s="1162">
        <f t="shared" si="39"/>
        <v>3</v>
      </c>
      <c r="CF160" s="1162" cm="1">
        <f t="array" ref="CF160">IF(VLOOKUP($BU160,$BU$98:$CF$132,11,FALSE)=0,$BU$98:$CF$132,VLOOKUP($BU160,$BU$98:$CF$132,11,FALSE))</f>
        <v>3</v>
      </c>
      <c r="CG160" s="1162"/>
      <c r="CH160" s="1162"/>
      <c r="CI160" s="1162"/>
      <c r="CJ160" s="1162"/>
      <c r="CK160" s="1162" t="str">
        <f t="shared" si="45"/>
        <v>Telecommunications</v>
      </c>
      <c r="CL160" s="1162">
        <f>IF(VLOOKUP(CK160,CK98:CU132,2,FALSE)=0,CX133,VLOOKUP(CK160,CK98:CU132,2,FALSE))</f>
        <v>9</v>
      </c>
      <c r="CM160" s="1162">
        <f>IF(VLOOKUP(CK160,CK98:CU132,3,FALSE)=0,CX133,VLOOKUP(CK160,CK98:CU132,3,FALSE))</f>
        <v>10</v>
      </c>
      <c r="CN160" s="1162">
        <f>IF(VLOOKUP(CK160,CK98:CU132,4,FALSE)=0,CX133,VLOOKUP(CK160,CK98:CU132,4,FALSE))</f>
        <v>12</v>
      </c>
      <c r="CO160" s="1162">
        <f>IF(VLOOKUP(CK160,CK98:CU132,5,FALSE)=0,CX133,VLOOKUP(CK160,CK98:CU132,5,FALSE))</f>
        <v>12</v>
      </c>
      <c r="CP160" s="1162">
        <f>IF(VLOOKUP(CK160,CK98:CU132,6,FALSE)=0,CX133,VLOOKUP(CK160,CK98:CU132,6,FALSE))</f>
        <v>12</v>
      </c>
      <c r="CQ160" s="1162">
        <f>IF(VLOOKUP(CK160,CK98:CU132,7,FALSE)=0,CX133,VLOOKUP(CK160,CK98:CU132,7,FALSE))</f>
        <v>12</v>
      </c>
      <c r="CR160" s="1162">
        <f>IF(VLOOKUP(CK160,CK98:CU132,8,FALSE)=0,CX133,VLOOKUP(CK160,CK98:CU132,8,FALSE))</f>
        <v>12</v>
      </c>
      <c r="CS160" s="1162">
        <f>IF(VLOOKUP(CK160,CK98:CU132,9,FALSE)=0,CX133,VLOOKUP(CK160,CK98:CU132,9,FALSE))</f>
        <v>12</v>
      </c>
      <c r="CT160" s="1162">
        <f>IF(VLOOKUP(CK160,CK98:CU132,10,FALSE)=0,CX133,VLOOKUP(CK160,CK98:CU132,10,FALSE))</f>
        <v>12</v>
      </c>
      <c r="CU160" s="1162">
        <f>IF(VLOOKUP(CK160,CK98:CU132,11,FALSE)=0,CX133,VLOOKUP(CK160,CK98:CU132,11,FALSE))</f>
        <v>12</v>
      </c>
      <c r="CV160" s="1162">
        <v>16</v>
      </c>
      <c r="CW160" s="1162"/>
      <c r="CX160" s="1162"/>
      <c r="CY160" s="1162"/>
      <c r="CZ160" s="834"/>
      <c r="DA160" s="834"/>
      <c r="DB160" s="834"/>
      <c r="DC160" s="834"/>
      <c r="DD160" s="839"/>
      <c r="DE160" s="1098"/>
      <c r="DF160" s="1098"/>
      <c r="DG160" s="1098"/>
      <c r="DH160" s="1098"/>
      <c r="DI160" s="1098"/>
      <c r="DJ160" s="1098"/>
      <c r="DK160" s="1098"/>
      <c r="DL160" s="1098"/>
      <c r="DM160" s="1098"/>
      <c r="DN160" s="1098"/>
      <c r="DO160" s="1098"/>
    </row>
    <row r="161" spans="25:119" s="1086" customFormat="1">
      <c r="Y161" s="1113">
        <f t="shared" si="23"/>
        <v>12</v>
      </c>
      <c r="Z161" s="1162" t="str">
        <f t="shared" si="40"/>
        <v>Furniture, games</v>
      </c>
      <c r="AA161" s="1162"/>
      <c r="AB161" s="1162"/>
      <c r="AC161" s="1162"/>
      <c r="AD161" s="1162"/>
      <c r="AE161" s="1162"/>
      <c r="AF161" s="1162"/>
      <c r="AG161" s="1162"/>
      <c r="AH161" s="1162"/>
      <c r="AI161" s="1162"/>
      <c r="AJ161" s="1162"/>
      <c r="AK161" s="1162"/>
      <c r="AL161" s="1162"/>
      <c r="AM161" s="1162"/>
      <c r="AN161" s="1162"/>
      <c r="AO161" s="1162"/>
      <c r="AP161" s="1162" t="str">
        <f t="shared" si="42"/>
        <v>IT methods for management</v>
      </c>
      <c r="AQ161" s="1162"/>
      <c r="AR161" s="1162"/>
      <c r="AS161" s="1162"/>
      <c r="AT161" s="1162"/>
      <c r="AU161" s="1162"/>
      <c r="AV161" s="1162"/>
      <c r="AW161" s="1162"/>
      <c r="AX161" s="1162"/>
      <c r="AY161" s="1162"/>
      <c r="AZ161" s="1163">
        <f>IF(VLOOKUP(AP161,AP99:AZ133,11,FALSE)=0,11,VLOOKUP(AP161,AP99:AZ133,11,FALSE))</f>
        <v>10</v>
      </c>
      <c r="BA161" s="1162"/>
      <c r="BB161" s="1162"/>
      <c r="BC161" s="1162"/>
      <c r="BD161" s="1162"/>
      <c r="BE161" s="1162" t="str">
        <f t="shared" si="43"/>
        <v>Optics</v>
      </c>
      <c r="BF161" s="1162">
        <f>IF(VLOOKUP(BE161,BE99:BO133,2,FALSE)=0,BR134,VLOOKUP(BE161,BE99:BO133,2,FALSE))</f>
        <v>10</v>
      </c>
      <c r="BG161" s="1162">
        <v>12</v>
      </c>
      <c r="BH161" s="1162">
        <f>BG161</f>
        <v>12</v>
      </c>
      <c r="BI161" s="1162">
        <f t="shared" ref="BI161:BO161" si="48">BH161</f>
        <v>12</v>
      </c>
      <c r="BJ161" s="1162">
        <f t="shared" si="48"/>
        <v>12</v>
      </c>
      <c r="BK161" s="1162">
        <f t="shared" si="48"/>
        <v>12</v>
      </c>
      <c r="BL161" s="1162">
        <f t="shared" si="48"/>
        <v>12</v>
      </c>
      <c r="BM161" s="1162">
        <f t="shared" si="48"/>
        <v>12</v>
      </c>
      <c r="BN161" s="1162">
        <f t="shared" si="48"/>
        <v>12</v>
      </c>
      <c r="BO161" s="1162">
        <f t="shared" si="48"/>
        <v>12</v>
      </c>
      <c r="BP161" s="1162">
        <v>18</v>
      </c>
      <c r="BQ161" s="1162"/>
      <c r="BR161" s="1162"/>
      <c r="BS161" s="1162"/>
      <c r="BT161" s="1162"/>
      <c r="BU161" s="1163" t="str">
        <f t="shared" si="44"/>
        <v>Transport</v>
      </c>
      <c r="BV161" s="1162">
        <f t="shared" si="30"/>
        <v>11</v>
      </c>
      <c r="BW161" s="1162">
        <f t="shared" si="31"/>
        <v>11</v>
      </c>
      <c r="BX161" s="1162">
        <f t="shared" si="32"/>
        <v>11</v>
      </c>
      <c r="BY161" s="1162">
        <f t="shared" si="33"/>
        <v>11</v>
      </c>
      <c r="BZ161" s="1162">
        <f t="shared" si="34"/>
        <v>11</v>
      </c>
      <c r="CA161" s="1162">
        <f t="shared" si="35"/>
        <v>11</v>
      </c>
      <c r="CB161" s="1162">
        <f t="shared" si="36"/>
        <v>11</v>
      </c>
      <c r="CC161" s="1162">
        <f t="shared" si="37"/>
        <v>8</v>
      </c>
      <c r="CD161" s="1162">
        <f t="shared" si="38"/>
        <v>10</v>
      </c>
      <c r="CE161" s="1162">
        <f t="shared" si="39"/>
        <v>11</v>
      </c>
      <c r="CF161" s="1162">
        <f>CF129</f>
        <v>9</v>
      </c>
      <c r="CG161" s="1162"/>
      <c r="CH161" s="1162"/>
      <c r="CI161" s="1162"/>
      <c r="CJ161" s="1162"/>
      <c r="CK161" s="1162" t="str">
        <f t="shared" si="45"/>
        <v>Computer technology</v>
      </c>
      <c r="CL161" s="1162">
        <f>IF(VLOOKUP(CK161,CK98:CU132,2,FALSE)=0,CX133,VLOOKUP(CK161,CK98:CU132,2,FALSE))</f>
        <v>1</v>
      </c>
      <c r="CM161" s="1162">
        <f>IF(VLOOKUP(CK161,CK98:CU132,3,FALSE)=0,CX133,VLOOKUP(CK161,CK98:CU132,3,FALSE))</f>
        <v>1</v>
      </c>
      <c r="CN161" s="1162">
        <f>IF(VLOOKUP(CK161,CK98:CU132,4,FALSE)=0,CX133,VLOOKUP(CK161,CK98:CU132,4,FALSE))</f>
        <v>1</v>
      </c>
      <c r="CO161" s="1162">
        <f>IF(VLOOKUP(CK161,CK98:CU132,5,FALSE)=0,CX133,VLOOKUP(CK161,CK98:CU132,5,FALSE))</f>
        <v>1</v>
      </c>
      <c r="CP161" s="1162">
        <f>IF(VLOOKUP(CK161,CK98:CU132,6,FALSE)=0,CX133,VLOOKUP(CK161,CK98:CU132,6,FALSE))</f>
        <v>1</v>
      </c>
      <c r="CQ161" s="1162">
        <f>IF(VLOOKUP(CK161,CK98:CU132,7,FALSE)=0,CX133,VLOOKUP(CK161,CK98:CU132,7,FALSE))</f>
        <v>1</v>
      </c>
      <c r="CR161" s="1162">
        <f>IF(VLOOKUP(CK161,CK98:CU132,8,FALSE)=0,CX133,VLOOKUP(CK161,CK98:CU132,8,FALSE))</f>
        <v>1</v>
      </c>
      <c r="CS161" s="1162">
        <f>IF(VLOOKUP(CK161,CK98:CU132,9,FALSE)=0,CX133,VLOOKUP(CK161,CK98:CU132,9,FALSE))</f>
        <v>1</v>
      </c>
      <c r="CT161" s="1162">
        <f>IF(VLOOKUP(CK161,CK98:CU132,10,FALSE)=0,CX133,VLOOKUP(CK161,CK98:CU132,10,FALSE))</f>
        <v>1</v>
      </c>
      <c r="CU161" s="1162">
        <f>IF(VLOOKUP(CK161,CK98:CU132,11,FALSE)=0,CX133,VLOOKUP(CK161,CK98:CU132,11,FALSE))</f>
        <v>1</v>
      </c>
      <c r="CV161" s="1162">
        <v>1</v>
      </c>
      <c r="CW161" s="1162"/>
      <c r="CX161" s="1162"/>
      <c r="CY161" s="1162"/>
      <c r="CZ161" s="834"/>
      <c r="DA161" s="834"/>
      <c r="DB161" s="834"/>
      <c r="DC161" s="834"/>
      <c r="DD161" s="839"/>
      <c r="DE161" s="1098"/>
      <c r="DF161" s="1098"/>
      <c r="DG161" s="1098"/>
      <c r="DH161" s="1098"/>
      <c r="DI161" s="1098"/>
      <c r="DJ161" s="1098"/>
      <c r="DK161" s="1098"/>
      <c r="DL161" s="1098"/>
      <c r="DM161" s="1098"/>
      <c r="DN161" s="1098"/>
      <c r="DO161" s="1098"/>
    </row>
    <row r="162" spans="25:119" s="1086" customFormat="1">
      <c r="Y162" s="1113">
        <f t="shared" si="23"/>
        <v>13</v>
      </c>
      <c r="Z162" s="1162" t="str">
        <f t="shared" si="40"/>
        <v/>
      </c>
      <c r="AA162" s="1162"/>
      <c r="AB162" s="1162"/>
      <c r="AC162" s="1162"/>
      <c r="AD162" s="1162"/>
      <c r="AE162" s="1162"/>
      <c r="AF162" s="1162"/>
      <c r="AG162" s="1162"/>
      <c r="AH162" s="1162"/>
      <c r="AI162" s="1162"/>
      <c r="AJ162" s="1162"/>
      <c r="AK162" s="1162"/>
      <c r="AL162" s="1162"/>
      <c r="AM162" s="1162"/>
      <c r="AN162" s="1162"/>
      <c r="AO162" s="1162"/>
      <c r="AP162" s="1162" t="str">
        <f t="shared" si="42"/>
        <v/>
      </c>
      <c r="AQ162" s="1162"/>
      <c r="AR162" s="1162"/>
      <c r="AS162" s="1162"/>
      <c r="AT162" s="1162"/>
      <c r="AU162" s="1162"/>
      <c r="AV162" s="1162"/>
      <c r="AW162" s="1162"/>
      <c r="AX162" s="1162"/>
      <c r="AY162" s="1162"/>
      <c r="AZ162" s="1162"/>
      <c r="BA162" s="1162"/>
      <c r="BB162" s="1162"/>
      <c r="BC162" s="1162"/>
      <c r="BD162" s="1162"/>
      <c r="BE162" s="1162" t="str">
        <f t="shared" si="43"/>
        <v/>
      </c>
      <c r="BF162" s="1162"/>
      <c r="BG162" s="1162"/>
      <c r="BH162" s="1162"/>
      <c r="BI162" s="1162"/>
      <c r="BJ162" s="1162"/>
      <c r="BK162" s="1162"/>
      <c r="BL162" s="1162"/>
      <c r="BM162" s="1162"/>
      <c r="BN162" s="1162"/>
      <c r="BO162" s="1162"/>
      <c r="BP162" s="1162"/>
      <c r="BQ162" s="1162"/>
      <c r="BR162" s="1162"/>
      <c r="BS162" s="1162"/>
      <c r="BT162" s="1162"/>
      <c r="BU162" s="1163" t="str">
        <f t="shared" si="44"/>
        <v>Chemical engineering</v>
      </c>
      <c r="BV162" s="1162">
        <f t="shared" si="30"/>
        <v>11</v>
      </c>
      <c r="BW162" s="1162">
        <f t="shared" si="31"/>
        <v>11</v>
      </c>
      <c r="BX162" s="1162">
        <f t="shared" si="32"/>
        <v>11</v>
      </c>
      <c r="BY162" s="1162">
        <f t="shared" si="33"/>
        <v>11</v>
      </c>
      <c r="BZ162" s="1162">
        <f t="shared" si="34"/>
        <v>11</v>
      </c>
      <c r="CA162" s="1162">
        <f t="shared" si="35"/>
        <v>11</v>
      </c>
      <c r="CB162" s="1162">
        <f t="shared" si="36"/>
        <v>11</v>
      </c>
      <c r="CC162" s="1162">
        <f t="shared" si="37"/>
        <v>9</v>
      </c>
      <c r="CD162" s="1162">
        <f t="shared" si="38"/>
        <v>7</v>
      </c>
      <c r="CE162" s="1162">
        <f t="shared" si="39"/>
        <v>11</v>
      </c>
      <c r="CF162" s="1162">
        <f>CF120</f>
        <v>7</v>
      </c>
      <c r="CG162" s="1162"/>
      <c r="CH162" s="1162"/>
      <c r="CI162" s="1162"/>
      <c r="CJ162" s="1162"/>
      <c r="CK162" s="1162" t="str">
        <f t="shared" si="45"/>
        <v/>
      </c>
      <c r="CL162" s="1162"/>
      <c r="CM162" s="1162"/>
      <c r="CN162" s="1162"/>
      <c r="CO162" s="1162"/>
      <c r="CP162" s="1162"/>
      <c r="CQ162" s="1162"/>
      <c r="CR162" s="1162"/>
      <c r="CS162" s="1162"/>
      <c r="CT162" s="1162"/>
      <c r="CU162" s="1162"/>
      <c r="CV162" s="1162"/>
      <c r="CW162" s="1162"/>
      <c r="CX162" s="1162"/>
      <c r="CY162" s="1162"/>
      <c r="CZ162" s="834"/>
      <c r="DA162" s="834"/>
      <c r="DB162" s="834"/>
      <c r="DC162" s="834"/>
      <c r="DD162" s="839"/>
      <c r="DE162" s="1098"/>
      <c r="DF162" s="1098"/>
      <c r="DG162" s="1098"/>
      <c r="DH162" s="1098"/>
      <c r="DI162" s="1098"/>
      <c r="DJ162" s="1098"/>
      <c r="DK162" s="1098"/>
      <c r="DL162" s="1098"/>
      <c r="DM162" s="1098"/>
      <c r="DN162" s="1098"/>
      <c r="DO162" s="1098"/>
    </row>
    <row r="163" spans="25:119" s="1086" customFormat="1">
      <c r="Y163" s="1113">
        <f t="shared" si="23"/>
        <v>14</v>
      </c>
      <c r="Z163" s="1162" t="str">
        <f t="shared" si="40"/>
        <v/>
      </c>
      <c r="AA163" s="1162"/>
      <c r="AB163" s="1162"/>
      <c r="AC163" s="1162"/>
      <c r="AD163" s="1162"/>
      <c r="AE163" s="1162"/>
      <c r="AF163" s="1162"/>
      <c r="AG163" s="1162"/>
      <c r="AH163" s="1162"/>
      <c r="AI163" s="1162"/>
      <c r="AJ163" s="1162"/>
      <c r="AK163" s="1162"/>
      <c r="AL163" s="1162"/>
      <c r="AM163" s="1162"/>
      <c r="AN163" s="1162"/>
      <c r="AO163" s="1162"/>
      <c r="AP163" s="1162" t="str">
        <f t="shared" si="42"/>
        <v/>
      </c>
      <c r="AQ163" s="1162"/>
      <c r="AR163" s="1162"/>
      <c r="AS163" s="1162"/>
      <c r="AT163" s="1162"/>
      <c r="AU163" s="1162"/>
      <c r="AV163" s="1162"/>
      <c r="AW163" s="1162"/>
      <c r="AX163" s="1162"/>
      <c r="AY163" s="1162"/>
      <c r="AZ163" s="1162"/>
      <c r="BA163" s="1162"/>
      <c r="BB163" s="1162"/>
      <c r="BC163" s="1162"/>
      <c r="BD163" s="1162"/>
      <c r="BE163" s="1162" t="str">
        <f t="shared" si="43"/>
        <v/>
      </c>
      <c r="BF163" s="1162"/>
      <c r="BG163" s="1162"/>
      <c r="BH163" s="1162"/>
      <c r="BI163" s="1162"/>
      <c r="BJ163" s="1162"/>
      <c r="BK163" s="1162"/>
      <c r="BL163" s="1162"/>
      <c r="BM163" s="1162"/>
      <c r="BN163" s="1162"/>
      <c r="BO163" s="1162"/>
      <c r="BP163" s="1162"/>
      <c r="BQ163" s="1162"/>
      <c r="BR163" s="1162"/>
      <c r="BS163" s="1162"/>
      <c r="BT163" s="1162"/>
      <c r="BU163" s="1163" t="str">
        <f t="shared" si="44"/>
        <v>Computer technology</v>
      </c>
      <c r="BV163" s="1162">
        <f t="shared" si="30"/>
        <v>3</v>
      </c>
      <c r="BW163" s="1162">
        <f t="shared" si="31"/>
        <v>2</v>
      </c>
      <c r="BX163" s="1162">
        <f t="shared" si="32"/>
        <v>2</v>
      </c>
      <c r="BY163" s="1162">
        <f t="shared" si="33"/>
        <v>2</v>
      </c>
      <c r="BZ163" s="1162">
        <f t="shared" si="34"/>
        <v>2</v>
      </c>
      <c r="CA163" s="1162">
        <f t="shared" si="35"/>
        <v>1</v>
      </c>
      <c r="CB163" s="1162">
        <f t="shared" si="36"/>
        <v>1</v>
      </c>
      <c r="CC163" s="1162">
        <f t="shared" si="37"/>
        <v>1</v>
      </c>
      <c r="CD163" s="1162">
        <f t="shared" si="38"/>
        <v>1</v>
      </c>
      <c r="CE163" s="1162">
        <f t="shared" si="39"/>
        <v>11</v>
      </c>
      <c r="CF163" s="1162">
        <f>CF103</f>
        <v>1</v>
      </c>
      <c r="CG163" s="1162"/>
      <c r="CH163" s="1162"/>
      <c r="CI163" s="1162"/>
      <c r="CJ163" s="1162"/>
      <c r="CK163" s="1162" t="str">
        <f t="shared" si="45"/>
        <v/>
      </c>
      <c r="CL163" s="1162"/>
      <c r="CM163" s="1162"/>
      <c r="CN163" s="1162"/>
      <c r="CO163" s="1162"/>
      <c r="CP163" s="1162"/>
      <c r="CQ163" s="1162"/>
      <c r="CR163" s="1162"/>
      <c r="CS163" s="1162"/>
      <c r="CT163" s="1162"/>
      <c r="CU163" s="1162"/>
      <c r="CV163" s="1162"/>
      <c r="CW163" s="1162"/>
      <c r="CX163" s="1162"/>
      <c r="CY163" s="1162"/>
      <c r="CZ163" s="834"/>
      <c r="DA163" s="834"/>
      <c r="DB163" s="834"/>
      <c r="DC163" s="834"/>
      <c r="DD163" s="839"/>
      <c r="DE163" s="1098"/>
      <c r="DF163" s="1098"/>
      <c r="DG163" s="1098"/>
      <c r="DH163" s="1098"/>
      <c r="DI163" s="1098"/>
      <c r="DJ163" s="1098"/>
      <c r="DK163" s="1098"/>
      <c r="DL163" s="1098"/>
      <c r="DM163" s="1098"/>
      <c r="DN163" s="1098"/>
      <c r="DO163" s="1098"/>
    </row>
    <row r="164" spans="25:119" s="1086" customFormat="1">
      <c r="Y164" s="1113">
        <f t="shared" si="23"/>
        <v>15</v>
      </c>
      <c r="Z164" s="1162" t="str">
        <f t="shared" si="40"/>
        <v/>
      </c>
      <c r="AA164" s="1162"/>
      <c r="AB164" s="1162"/>
      <c r="AC164" s="1162"/>
      <c r="AD164" s="1162"/>
      <c r="AE164" s="1162"/>
      <c r="AF164" s="1162"/>
      <c r="AG164" s="1162"/>
      <c r="AH164" s="1162"/>
      <c r="AI164" s="1162"/>
      <c r="AJ164" s="1162"/>
      <c r="AK164" s="1162"/>
      <c r="AL164" s="1162"/>
      <c r="AM164" s="1162"/>
      <c r="AN164" s="1162"/>
      <c r="AO164" s="1162"/>
      <c r="AP164" s="1162" t="str">
        <f t="shared" si="42"/>
        <v/>
      </c>
      <c r="AQ164" s="1162"/>
      <c r="AR164" s="1162"/>
      <c r="AS164" s="1162"/>
      <c r="AT164" s="1162"/>
      <c r="AU164" s="1162"/>
      <c r="AV164" s="1162"/>
      <c r="AW164" s="1162"/>
      <c r="AX164" s="1162"/>
      <c r="AY164" s="1162"/>
      <c r="AZ164" s="1162"/>
      <c r="BA164" s="1162"/>
      <c r="BB164" s="1162"/>
      <c r="BC164" s="1162"/>
      <c r="BD164" s="1162"/>
      <c r="BE164" s="1162" t="str">
        <f t="shared" si="43"/>
        <v/>
      </c>
      <c r="BF164" s="1162"/>
      <c r="BG164" s="1162"/>
      <c r="BH164" s="1162"/>
      <c r="BI164" s="1162"/>
      <c r="BJ164" s="1162"/>
      <c r="BK164" s="1162"/>
      <c r="BL164" s="1162"/>
      <c r="BM164" s="1162"/>
      <c r="BN164" s="1162"/>
      <c r="BO164" s="1162"/>
      <c r="BP164" s="1162"/>
      <c r="BQ164" s="1162"/>
      <c r="BR164" s="1162"/>
      <c r="BS164" s="1162"/>
      <c r="BT164" s="1162"/>
      <c r="BU164" s="1163" t="str">
        <f t="shared" si="44"/>
        <v>Other consumer goods</v>
      </c>
      <c r="BV164" s="1162">
        <f t="shared" si="30"/>
        <v>11</v>
      </c>
      <c r="BW164" s="1162">
        <f t="shared" si="31"/>
        <v>11</v>
      </c>
      <c r="BX164" s="1162">
        <f t="shared" si="32"/>
        <v>11</v>
      </c>
      <c r="BY164" s="1162">
        <f t="shared" si="33"/>
        <v>11</v>
      </c>
      <c r="BZ164" s="1162">
        <f t="shared" si="34"/>
        <v>11</v>
      </c>
      <c r="CA164" s="1162">
        <f t="shared" si="35"/>
        <v>4</v>
      </c>
      <c r="CB164" s="1162">
        <f t="shared" si="36"/>
        <v>4</v>
      </c>
      <c r="CC164" s="1162">
        <f t="shared" si="37"/>
        <v>11</v>
      </c>
      <c r="CD164" s="1162">
        <f t="shared" si="38"/>
        <v>11</v>
      </c>
      <c r="CE164" s="1162">
        <f t="shared" si="39"/>
        <v>11</v>
      </c>
      <c r="CF164" s="1162">
        <v>14</v>
      </c>
      <c r="CG164" s="1162"/>
      <c r="CH164" s="1162"/>
      <c r="CI164" s="1162"/>
      <c r="CJ164" s="1162"/>
      <c r="CK164" s="1162" t="str">
        <f t="shared" si="45"/>
        <v/>
      </c>
      <c r="CL164" s="1162"/>
      <c r="CM164" s="1162"/>
      <c r="CN164" s="1162"/>
      <c r="CO164" s="1162"/>
      <c r="CP164" s="1162"/>
      <c r="CQ164" s="1162"/>
      <c r="CR164" s="1162"/>
      <c r="CS164" s="1162"/>
      <c r="CT164" s="1162"/>
      <c r="CU164" s="1162"/>
      <c r="CV164" s="1162"/>
      <c r="CW164" s="1162"/>
      <c r="CX164" s="1162"/>
      <c r="CY164" s="1162"/>
      <c r="CZ164" s="834"/>
      <c r="DA164" s="834"/>
      <c r="DB164" s="834"/>
      <c r="DC164" s="834"/>
      <c r="DD164" s="839"/>
      <c r="DE164" s="1098"/>
      <c r="DF164" s="1098"/>
      <c r="DG164" s="1098"/>
      <c r="DH164" s="1098"/>
      <c r="DI164" s="1098"/>
      <c r="DJ164" s="1098"/>
      <c r="DK164" s="1098"/>
      <c r="DL164" s="1098"/>
      <c r="DM164" s="1098"/>
      <c r="DN164" s="1098"/>
      <c r="DO164" s="1098"/>
    </row>
    <row r="165" spans="25:119" s="1086" customFormat="1">
      <c r="Y165" s="1113">
        <f t="shared" si="23"/>
        <v>16</v>
      </c>
      <c r="Z165" s="1162" t="str">
        <f t="shared" si="40"/>
        <v/>
      </c>
      <c r="AA165" s="1162"/>
      <c r="AB165" s="1162"/>
      <c r="AC165" s="1162"/>
      <c r="AD165" s="1162"/>
      <c r="AE165" s="1162"/>
      <c r="AF165" s="1162"/>
      <c r="AG165" s="1162"/>
      <c r="AH165" s="1162"/>
      <c r="AI165" s="1162"/>
      <c r="AJ165" s="1162"/>
      <c r="AK165" s="1162"/>
      <c r="AL165" s="1162"/>
      <c r="AM165" s="1162"/>
      <c r="AN165" s="1162"/>
      <c r="AO165" s="1162"/>
      <c r="AP165" s="1162" t="str">
        <f t="shared" si="42"/>
        <v/>
      </c>
      <c r="AQ165" s="1162"/>
      <c r="AR165" s="1162"/>
      <c r="AS165" s="1162"/>
      <c r="AT165" s="1162"/>
      <c r="AU165" s="1162"/>
      <c r="AV165" s="1162"/>
      <c r="AW165" s="1162"/>
      <c r="AX165" s="1162"/>
      <c r="AY165" s="1162"/>
      <c r="AZ165" s="1162"/>
      <c r="BA165" s="1162"/>
      <c r="BB165" s="1162"/>
      <c r="BC165" s="1162"/>
      <c r="BD165" s="1162"/>
      <c r="BE165" s="1162" t="str">
        <f t="shared" si="43"/>
        <v/>
      </c>
      <c r="BF165" s="1162"/>
      <c r="BG165" s="1162"/>
      <c r="BH165" s="1162"/>
      <c r="BI165" s="1162"/>
      <c r="BJ165" s="1162"/>
      <c r="BK165" s="1162"/>
      <c r="BL165" s="1162"/>
      <c r="BM165" s="1162"/>
      <c r="BN165" s="1162"/>
      <c r="BO165" s="1162"/>
      <c r="BP165" s="1162"/>
      <c r="BQ165" s="1162"/>
      <c r="BR165" s="1162"/>
      <c r="BS165" s="1162"/>
      <c r="BT165" s="1162"/>
      <c r="BU165" s="1163" t="str">
        <f t="shared" si="44"/>
        <v>Medical technology</v>
      </c>
      <c r="BV165" s="1162">
        <f t="shared" si="30"/>
        <v>11</v>
      </c>
      <c r="BW165" s="1162">
        <f t="shared" si="31"/>
        <v>11</v>
      </c>
      <c r="BX165" s="1162">
        <f t="shared" si="32"/>
        <v>11</v>
      </c>
      <c r="BY165" s="1162">
        <f t="shared" si="33"/>
        <v>11</v>
      </c>
      <c r="BZ165" s="1162">
        <f t="shared" si="34"/>
        <v>11</v>
      </c>
      <c r="CA165" s="1162">
        <f t="shared" si="35"/>
        <v>11</v>
      </c>
      <c r="CB165" s="1162">
        <f t="shared" si="36"/>
        <v>11</v>
      </c>
      <c r="CC165" s="1162">
        <f t="shared" si="37"/>
        <v>11</v>
      </c>
      <c r="CD165" s="1162">
        <f t="shared" si="38"/>
        <v>11</v>
      </c>
      <c r="CE165" s="1162">
        <f t="shared" si="39"/>
        <v>7</v>
      </c>
      <c r="CF165" s="1162">
        <f>CF110</f>
        <v>8</v>
      </c>
      <c r="CG165" s="1162"/>
      <c r="CH165" s="1162"/>
      <c r="CI165" s="1162"/>
      <c r="CJ165" s="1162"/>
      <c r="CK165" s="1162" t="str">
        <f t="shared" si="45"/>
        <v/>
      </c>
      <c r="CL165" s="1162"/>
      <c r="CM165" s="1162"/>
      <c r="CN165" s="1162"/>
      <c r="CO165" s="1162"/>
      <c r="CP165" s="1162"/>
      <c r="CQ165" s="1162"/>
      <c r="CR165" s="1162"/>
      <c r="CS165" s="1162"/>
      <c r="CT165" s="1162"/>
      <c r="CU165" s="1162"/>
      <c r="CV165" s="1162"/>
      <c r="CW165" s="1162"/>
      <c r="CX165" s="1162"/>
      <c r="CY165" s="1162"/>
      <c r="CZ165" s="834"/>
      <c r="DA165" s="834"/>
      <c r="DB165" s="834"/>
      <c r="DC165" s="834"/>
      <c r="DD165" s="839"/>
      <c r="DE165" s="1098"/>
      <c r="DF165" s="1098"/>
      <c r="DG165" s="1098"/>
      <c r="DH165" s="1098"/>
      <c r="DI165" s="1098"/>
      <c r="DJ165" s="1098"/>
      <c r="DK165" s="1098"/>
      <c r="DL165" s="1098"/>
      <c r="DM165" s="1098"/>
      <c r="DN165" s="1098"/>
      <c r="DO165" s="1098"/>
    </row>
    <row r="166" spans="25:119" s="1086" customFormat="1">
      <c r="Y166" s="1113">
        <f t="shared" si="23"/>
        <v>17</v>
      </c>
      <c r="Z166" s="1162" t="str">
        <f t="shared" si="40"/>
        <v/>
      </c>
      <c r="AA166" s="1162"/>
      <c r="AB166" s="1162"/>
      <c r="AC166" s="1162"/>
      <c r="AD166" s="1162"/>
      <c r="AE166" s="1162"/>
      <c r="AF166" s="1162"/>
      <c r="AG166" s="1162"/>
      <c r="AH166" s="1162"/>
      <c r="AI166" s="1162"/>
      <c r="AJ166" s="1162"/>
      <c r="AK166" s="1162"/>
      <c r="AL166" s="1162"/>
      <c r="AM166" s="1162"/>
      <c r="AN166" s="1162"/>
      <c r="AO166" s="1162"/>
      <c r="AP166" s="1162" t="str">
        <f t="shared" si="42"/>
        <v/>
      </c>
      <c r="AQ166" s="1162"/>
      <c r="AR166" s="1162"/>
      <c r="AS166" s="1162"/>
      <c r="AT166" s="1162"/>
      <c r="AU166" s="1162"/>
      <c r="AV166" s="1162"/>
      <c r="AW166" s="1162"/>
      <c r="AX166" s="1162"/>
      <c r="AY166" s="1162"/>
      <c r="AZ166" s="1162"/>
      <c r="BA166" s="1162"/>
      <c r="BB166" s="1162"/>
      <c r="BC166" s="1162"/>
      <c r="BD166" s="1162"/>
      <c r="BE166" s="1162" t="str">
        <f t="shared" si="43"/>
        <v/>
      </c>
      <c r="BF166" s="1162"/>
      <c r="BG166" s="1162"/>
      <c r="BH166" s="1162"/>
      <c r="BI166" s="1162"/>
      <c r="BJ166" s="1162"/>
      <c r="BK166" s="1162"/>
      <c r="BL166" s="1162"/>
      <c r="BM166" s="1162"/>
      <c r="BN166" s="1162"/>
      <c r="BO166" s="1162"/>
      <c r="BP166" s="1162"/>
      <c r="BQ166" s="1162"/>
      <c r="BR166" s="1162"/>
      <c r="BS166" s="1162"/>
      <c r="BT166" s="1162"/>
      <c r="BU166" s="1163" t="str">
        <f t="shared" si="44"/>
        <v>Biotechnology</v>
      </c>
      <c r="BV166" s="1162">
        <f t="shared" si="30"/>
        <v>11</v>
      </c>
      <c r="BW166" s="1162">
        <f t="shared" si="31"/>
        <v>11</v>
      </c>
      <c r="BX166" s="1162">
        <f t="shared" si="32"/>
        <v>11</v>
      </c>
      <c r="BY166" s="1162">
        <f t="shared" si="33"/>
        <v>11</v>
      </c>
      <c r="BZ166" s="1162">
        <f t="shared" si="34"/>
        <v>11</v>
      </c>
      <c r="CA166" s="1162">
        <f t="shared" si="35"/>
        <v>11</v>
      </c>
      <c r="CB166" s="1162">
        <f t="shared" si="36"/>
        <v>11</v>
      </c>
      <c r="CC166" s="1162">
        <f t="shared" si="37"/>
        <v>11</v>
      </c>
      <c r="CD166" s="1162">
        <f t="shared" si="38"/>
        <v>11</v>
      </c>
      <c r="CE166" s="1162">
        <f t="shared" si="39"/>
        <v>4</v>
      </c>
      <c r="CF166" s="1162">
        <v>18</v>
      </c>
      <c r="CG166" s="1162"/>
      <c r="CH166" s="1162"/>
      <c r="CI166" s="1162"/>
      <c r="CJ166" s="1162"/>
      <c r="CK166" s="1162" t="str">
        <f t="shared" si="45"/>
        <v/>
      </c>
      <c r="CL166" s="1162"/>
      <c r="CM166" s="1162"/>
      <c r="CN166" s="1162"/>
      <c r="CO166" s="1162"/>
      <c r="CP166" s="1162"/>
      <c r="CQ166" s="1162"/>
      <c r="CR166" s="1162"/>
      <c r="CS166" s="1162"/>
      <c r="CT166" s="1162"/>
      <c r="CU166" s="1162"/>
      <c r="CV166" s="1162"/>
      <c r="CW166" s="1162"/>
      <c r="CX166" s="1162"/>
      <c r="CY166" s="1162"/>
      <c r="CZ166" s="834"/>
      <c r="DA166" s="834"/>
      <c r="DB166" s="834"/>
      <c r="DC166" s="834"/>
      <c r="DD166" s="839"/>
      <c r="DE166" s="1098"/>
      <c r="DF166" s="1098"/>
      <c r="DG166" s="1098"/>
      <c r="DH166" s="1098"/>
      <c r="DI166" s="1098"/>
      <c r="DJ166" s="1098"/>
      <c r="DK166" s="1098"/>
      <c r="DL166" s="1098"/>
      <c r="DM166" s="1098"/>
      <c r="DN166" s="1098"/>
      <c r="DO166" s="1098"/>
    </row>
    <row r="167" spans="25:119" s="1086" customFormat="1">
      <c r="Y167" s="1113">
        <f t="shared" si="23"/>
        <v>18</v>
      </c>
      <c r="Z167" s="1162" t="str">
        <f t="shared" si="40"/>
        <v/>
      </c>
      <c r="AA167" s="1162"/>
      <c r="AB167" s="1162"/>
      <c r="AC167" s="1162"/>
      <c r="AD167" s="1162"/>
      <c r="AE167" s="1162"/>
      <c r="AF167" s="1162"/>
      <c r="AG167" s="1162"/>
      <c r="AH167" s="1162"/>
      <c r="AI167" s="1162"/>
      <c r="AJ167" s="1162"/>
      <c r="AK167" s="1162"/>
      <c r="AL167" s="1162"/>
      <c r="AM167" s="1162"/>
      <c r="AN167" s="1162"/>
      <c r="AO167" s="1162"/>
      <c r="AP167" s="1162" t="str">
        <f t="shared" si="42"/>
        <v/>
      </c>
      <c r="AQ167" s="1162"/>
      <c r="AR167" s="1162"/>
      <c r="AS167" s="1162"/>
      <c r="AT167" s="1162"/>
      <c r="AU167" s="1162"/>
      <c r="AV167" s="1162"/>
      <c r="AW167" s="1162"/>
      <c r="AX167" s="1162"/>
      <c r="AY167" s="1162"/>
      <c r="AZ167" s="1162"/>
      <c r="BA167" s="1162"/>
      <c r="BB167" s="1162"/>
      <c r="BC167" s="1162"/>
      <c r="BD167" s="1162"/>
      <c r="BE167" s="1162" t="str">
        <f t="shared" si="43"/>
        <v/>
      </c>
      <c r="BF167" s="1162"/>
      <c r="BG167" s="1162"/>
      <c r="BH167" s="1162"/>
      <c r="BI167" s="1162"/>
      <c r="BJ167" s="1162"/>
      <c r="BK167" s="1162"/>
      <c r="BL167" s="1162"/>
      <c r="BM167" s="1162"/>
      <c r="BN167" s="1162"/>
      <c r="BO167" s="1162"/>
      <c r="BP167" s="1162"/>
      <c r="BQ167" s="1162"/>
      <c r="BR167" s="1162"/>
      <c r="BS167" s="1162"/>
      <c r="BT167" s="1162"/>
      <c r="BU167" s="1163" t="str">
        <f t="shared" si="44"/>
        <v>Semiconductors</v>
      </c>
      <c r="BV167" s="1162">
        <f t="shared" si="30"/>
        <v>11</v>
      </c>
      <c r="BW167" s="1162">
        <f t="shared" si="31"/>
        <v>11</v>
      </c>
      <c r="BX167" s="1162">
        <f t="shared" si="32"/>
        <v>11</v>
      </c>
      <c r="BY167" s="1162">
        <f t="shared" si="33"/>
        <v>11</v>
      </c>
      <c r="BZ167" s="1162">
        <f t="shared" si="34"/>
        <v>11</v>
      </c>
      <c r="CA167" s="1162">
        <f t="shared" si="35"/>
        <v>11</v>
      </c>
      <c r="CB167" s="1162">
        <f t="shared" si="36"/>
        <v>11</v>
      </c>
      <c r="CC167" s="1162">
        <f t="shared" si="37"/>
        <v>11</v>
      </c>
      <c r="CD167" s="1162">
        <f t="shared" si="38"/>
        <v>11</v>
      </c>
      <c r="CE167" s="1162">
        <f t="shared" si="39"/>
        <v>2</v>
      </c>
      <c r="CF167" s="1162">
        <v>16</v>
      </c>
      <c r="CG167" s="1162"/>
      <c r="CH167" s="1162"/>
      <c r="CI167" s="1162"/>
      <c r="CJ167" s="1162"/>
      <c r="CK167" s="1162" t="str">
        <f t="shared" si="45"/>
        <v/>
      </c>
      <c r="CL167" s="1162"/>
      <c r="CM167" s="1162"/>
      <c r="CN167" s="1162"/>
      <c r="CO167" s="1162"/>
      <c r="CP167" s="1162"/>
      <c r="CQ167" s="1162"/>
      <c r="CR167" s="1162"/>
      <c r="CS167" s="1162"/>
      <c r="CT167" s="1162"/>
      <c r="CU167" s="1162"/>
      <c r="CV167" s="1162"/>
      <c r="CW167" s="1162"/>
      <c r="CX167" s="1162"/>
      <c r="CY167" s="1162"/>
      <c r="CZ167" s="834"/>
      <c r="DA167" s="834"/>
      <c r="DB167" s="834"/>
      <c r="DC167" s="834"/>
      <c r="DD167" s="839"/>
      <c r="DE167" s="1098"/>
      <c r="DF167" s="1098"/>
      <c r="DG167" s="1098"/>
      <c r="DH167" s="1098"/>
      <c r="DI167" s="1098"/>
      <c r="DJ167" s="1098"/>
      <c r="DK167" s="1098"/>
      <c r="DL167" s="1098"/>
      <c r="DM167" s="1098"/>
      <c r="DN167" s="1098"/>
      <c r="DO167" s="1098"/>
    </row>
    <row r="168" spans="25:119" s="1086" customFormat="1">
      <c r="Y168" s="1113">
        <f t="shared" si="23"/>
        <v>19</v>
      </c>
      <c r="Z168" s="1162" t="str">
        <f t="shared" si="40"/>
        <v/>
      </c>
      <c r="AA168" s="1162"/>
      <c r="AB168" s="1162"/>
      <c r="AC168" s="1162"/>
      <c r="AD168" s="1162"/>
      <c r="AE168" s="1162"/>
      <c r="AF168" s="1162"/>
      <c r="AG168" s="1162"/>
      <c r="AH168" s="1162"/>
      <c r="AI168" s="1162"/>
      <c r="AJ168" s="1162"/>
      <c r="AK168" s="1162"/>
      <c r="AL168" s="1162"/>
      <c r="AM168" s="1162"/>
      <c r="AN168" s="1162"/>
      <c r="AO168" s="1162"/>
      <c r="AP168" s="1162" t="str">
        <f t="shared" si="42"/>
        <v/>
      </c>
      <c r="AQ168" s="1162"/>
      <c r="AR168" s="1162"/>
      <c r="AS168" s="1162"/>
      <c r="AT168" s="1162"/>
      <c r="AU168" s="1162"/>
      <c r="AV168" s="1162"/>
      <c r="AW168" s="1162"/>
      <c r="AX168" s="1162"/>
      <c r="AY168" s="1162"/>
      <c r="AZ168" s="1162"/>
      <c r="BA168" s="1162"/>
      <c r="BB168" s="1162"/>
      <c r="BC168" s="1162"/>
      <c r="BD168" s="1162"/>
      <c r="BE168" s="1162" t="str">
        <f t="shared" si="43"/>
        <v/>
      </c>
      <c r="BF168" s="1162"/>
      <c r="BG168" s="1162"/>
      <c r="BH168" s="1162"/>
      <c r="BI168" s="1162"/>
      <c r="BJ168" s="1162"/>
      <c r="BK168" s="1162"/>
      <c r="BL168" s="1162"/>
      <c r="BM168" s="1162"/>
      <c r="BN168" s="1162"/>
      <c r="BO168" s="1162"/>
      <c r="BP168" s="1162"/>
      <c r="BQ168" s="1162"/>
      <c r="BR168" s="1162"/>
      <c r="BS168" s="1162"/>
      <c r="BT168" s="1162"/>
      <c r="BU168" s="1163" t="str">
        <f t="shared" si="44"/>
        <v>Basic communication processes</v>
      </c>
      <c r="BV168" s="1162">
        <f t="shared" si="30"/>
        <v>11</v>
      </c>
      <c r="BW168" s="1162">
        <f t="shared" si="31"/>
        <v>11</v>
      </c>
      <c r="BX168" s="1162">
        <f t="shared" si="32"/>
        <v>11</v>
      </c>
      <c r="BY168" s="1162">
        <f t="shared" si="33"/>
        <v>11</v>
      </c>
      <c r="BZ168" s="1162">
        <f t="shared" si="34"/>
        <v>11</v>
      </c>
      <c r="CA168" s="1162">
        <f t="shared" si="35"/>
        <v>11</v>
      </c>
      <c r="CB168" s="1162">
        <f t="shared" si="36"/>
        <v>11</v>
      </c>
      <c r="CC168" s="1162">
        <f t="shared" si="37"/>
        <v>11</v>
      </c>
      <c r="CD168" s="1162">
        <f t="shared" si="38"/>
        <v>11</v>
      </c>
      <c r="CE168" s="1162">
        <f t="shared" si="39"/>
        <v>1</v>
      </c>
      <c r="CF168" s="1162">
        <v>34</v>
      </c>
      <c r="CG168" s="1162"/>
      <c r="CH168" s="1162"/>
      <c r="CI168" s="1162"/>
      <c r="CJ168" s="1162"/>
      <c r="CK168" s="1162" t="str">
        <f t="shared" si="45"/>
        <v/>
      </c>
      <c r="CL168" s="1162"/>
      <c r="CM168" s="1162"/>
      <c r="CN168" s="1162"/>
      <c r="CO168" s="1162"/>
      <c r="CP168" s="1162"/>
      <c r="CQ168" s="1162"/>
      <c r="CR168" s="1162"/>
      <c r="CS168" s="1162"/>
      <c r="CT168" s="1162"/>
      <c r="CU168" s="1162"/>
      <c r="CV168" s="1162"/>
      <c r="CW168" s="1162"/>
      <c r="CX168" s="1162"/>
      <c r="CY168" s="1162"/>
      <c r="CZ168" s="834"/>
      <c r="DA168" s="834"/>
      <c r="DB168" s="834"/>
      <c r="DC168" s="834"/>
      <c r="DD168" s="839"/>
      <c r="DE168" s="1098"/>
      <c r="DF168" s="1098"/>
      <c r="DG168" s="1098"/>
      <c r="DH168" s="1098"/>
      <c r="DI168" s="1098"/>
      <c r="DJ168" s="1098"/>
      <c r="DK168" s="1098"/>
      <c r="DL168" s="1098"/>
      <c r="DM168" s="1098"/>
      <c r="DN168" s="1098"/>
      <c r="DO168" s="1098"/>
    </row>
    <row r="169" spans="25:119" s="1086" customFormat="1">
      <c r="Y169" s="1113">
        <f t="shared" si="23"/>
        <v>20</v>
      </c>
      <c r="Z169" s="1162"/>
      <c r="AA169" s="1162"/>
      <c r="AB169" s="1162"/>
      <c r="AC169" s="1162"/>
      <c r="AD169" s="1162"/>
      <c r="AE169" s="1162"/>
      <c r="AF169" s="1162"/>
      <c r="AG169" s="1162"/>
      <c r="AH169" s="1162"/>
      <c r="AI169" s="1162"/>
      <c r="AJ169" s="1162"/>
      <c r="AK169" s="1162"/>
      <c r="AL169" s="1162"/>
      <c r="AM169" s="1162"/>
      <c r="AN169" s="1162"/>
      <c r="AO169" s="1162"/>
      <c r="AP169" s="1162"/>
      <c r="AQ169" s="1162"/>
      <c r="AR169" s="1162"/>
      <c r="AS169" s="1162"/>
      <c r="AT169" s="1162"/>
      <c r="AU169" s="1162"/>
      <c r="AV169" s="1162"/>
      <c r="AW169" s="1162"/>
      <c r="AX169" s="1162"/>
      <c r="AY169" s="1162"/>
      <c r="AZ169" s="1162"/>
      <c r="BA169" s="1162"/>
      <c r="BB169" s="1162"/>
      <c r="BC169" s="1162"/>
      <c r="BD169" s="1162"/>
      <c r="BE169" s="1162"/>
      <c r="BF169" s="1162"/>
      <c r="BG169" s="1162"/>
      <c r="BH169" s="1162"/>
      <c r="BI169" s="1162"/>
      <c r="BJ169" s="1162"/>
      <c r="BK169" s="1162"/>
      <c r="BL169" s="1162"/>
      <c r="BM169" s="1162"/>
      <c r="BN169" s="1162"/>
      <c r="BO169" s="1162"/>
      <c r="BP169" s="1162"/>
      <c r="BQ169" s="1162"/>
      <c r="BR169" s="1162"/>
      <c r="BS169" s="1162"/>
      <c r="BT169" s="1162"/>
      <c r="BU169" s="1162" t="str">
        <f t="shared" si="44"/>
        <v/>
      </c>
      <c r="BV169" s="1162"/>
      <c r="BW169" s="1162"/>
      <c r="BX169" s="1162"/>
      <c r="BY169" s="1162"/>
      <c r="BZ169" s="1162"/>
      <c r="CA169" s="1162"/>
      <c r="CB169" s="1162"/>
      <c r="CC169" s="1162"/>
      <c r="CD169" s="1162"/>
      <c r="CE169" s="1162"/>
      <c r="CF169" s="1162"/>
      <c r="CG169" s="1162"/>
      <c r="CH169" s="1162"/>
      <c r="CI169" s="1162"/>
      <c r="CJ169" s="1162"/>
      <c r="CK169" s="1162"/>
      <c r="CL169" s="1162"/>
      <c r="CM169" s="1162"/>
      <c r="CN169" s="1162"/>
      <c r="CO169" s="1162"/>
      <c r="CP169" s="1162"/>
      <c r="CQ169" s="1162"/>
      <c r="CR169" s="1162"/>
      <c r="CS169" s="1162"/>
      <c r="CT169" s="1162"/>
      <c r="CU169" s="1162"/>
      <c r="CV169" s="1162"/>
      <c r="CW169" s="1162"/>
      <c r="CX169" s="1162"/>
      <c r="CY169" s="1162"/>
      <c r="CZ169" s="834"/>
      <c r="DA169" s="834"/>
      <c r="DB169" s="834"/>
      <c r="DC169" s="834"/>
      <c r="DD169" s="839"/>
      <c r="DE169" s="1098"/>
      <c r="DF169" s="1098"/>
      <c r="DG169" s="1098"/>
      <c r="DH169" s="1098"/>
      <c r="DI169" s="1098"/>
      <c r="DJ169" s="1098"/>
      <c r="DK169" s="1098"/>
      <c r="DL169" s="1098"/>
      <c r="DM169" s="1098"/>
      <c r="DN169" s="1098"/>
      <c r="DO169" s="1098"/>
    </row>
    <row r="170" spans="25:119" s="1086" customFormat="1">
      <c r="Y170" s="1113">
        <f t="shared" si="23"/>
        <v>21</v>
      </c>
      <c r="Z170" s="1162"/>
      <c r="AA170" s="1162"/>
      <c r="AB170" s="1162"/>
      <c r="AC170" s="1162"/>
      <c r="AD170" s="1162"/>
      <c r="AE170" s="1162"/>
      <c r="AF170" s="1162"/>
      <c r="AG170" s="1162"/>
      <c r="AH170" s="1162"/>
      <c r="AI170" s="1162"/>
      <c r="AJ170" s="1162"/>
      <c r="AK170" s="1162"/>
      <c r="AL170" s="1162"/>
      <c r="AM170" s="1162"/>
      <c r="AN170" s="1162"/>
      <c r="AO170" s="1162"/>
      <c r="AP170" s="1162"/>
      <c r="AQ170" s="1162"/>
      <c r="AR170" s="1162"/>
      <c r="AS170" s="1162"/>
      <c r="AT170" s="1162"/>
      <c r="AU170" s="1162"/>
      <c r="AV170" s="1162"/>
      <c r="AW170" s="1162"/>
      <c r="AX170" s="1162"/>
      <c r="AY170" s="1162"/>
      <c r="AZ170" s="1162"/>
      <c r="BA170" s="1162"/>
      <c r="BB170" s="1162"/>
      <c r="BC170" s="1162"/>
      <c r="BD170" s="1162"/>
      <c r="BE170" s="1162"/>
      <c r="BF170" s="1162"/>
      <c r="BG170" s="1162"/>
      <c r="BH170" s="1162"/>
      <c r="BI170" s="1162"/>
      <c r="BJ170" s="1162"/>
      <c r="BK170" s="1162"/>
      <c r="BL170" s="1162"/>
      <c r="BM170" s="1162"/>
      <c r="BN170" s="1162"/>
      <c r="BO170" s="1162"/>
      <c r="BP170" s="1162"/>
      <c r="BQ170" s="1162"/>
      <c r="BR170" s="1162"/>
      <c r="BS170" s="1162"/>
      <c r="BT170" s="1162"/>
      <c r="BU170" s="1162" t="str">
        <f t="shared" si="44"/>
        <v/>
      </c>
      <c r="BV170" s="1162"/>
      <c r="BW170" s="1162"/>
      <c r="BX170" s="1162"/>
      <c r="BY170" s="1162"/>
      <c r="BZ170" s="1162"/>
      <c r="CA170" s="1162"/>
      <c r="CB170" s="1162"/>
      <c r="CC170" s="1162"/>
      <c r="CD170" s="1162"/>
      <c r="CE170" s="1162"/>
      <c r="CF170" s="1162"/>
      <c r="CG170" s="1162"/>
      <c r="CH170" s="1162"/>
      <c r="CI170" s="1162"/>
      <c r="CJ170" s="1162"/>
      <c r="CK170" s="1162"/>
      <c r="CL170" s="1162"/>
      <c r="CM170" s="1162"/>
      <c r="CN170" s="1162"/>
      <c r="CO170" s="1162"/>
      <c r="CP170" s="1162"/>
      <c r="CQ170" s="1162"/>
      <c r="CR170" s="1162"/>
      <c r="CS170" s="1162"/>
      <c r="CT170" s="1162"/>
      <c r="CU170" s="1162"/>
      <c r="CV170" s="1162"/>
      <c r="CW170" s="1162"/>
      <c r="CX170" s="1162"/>
      <c r="CY170" s="1162"/>
      <c r="CZ170" s="834"/>
      <c r="DA170" s="834"/>
      <c r="DB170" s="834"/>
      <c r="DC170" s="834"/>
      <c r="DD170" s="839"/>
      <c r="DE170" s="1098"/>
      <c r="DF170" s="1098"/>
      <c r="DG170" s="1098"/>
      <c r="DH170" s="1098"/>
      <c r="DI170" s="1098"/>
      <c r="DJ170" s="1098"/>
      <c r="DK170" s="1098"/>
      <c r="DL170" s="1098"/>
      <c r="DM170" s="1098"/>
      <c r="DN170" s="1098"/>
      <c r="DO170" s="1098"/>
    </row>
    <row r="171" spans="25:119" s="1086" customFormat="1">
      <c r="Y171" s="1113">
        <f t="shared" si="23"/>
        <v>22</v>
      </c>
      <c r="Z171" s="834"/>
      <c r="AA171" s="834"/>
      <c r="AB171" s="834"/>
      <c r="AC171" s="834"/>
      <c r="AD171" s="834"/>
      <c r="AE171" s="834"/>
      <c r="AF171" s="834"/>
      <c r="AG171" s="834"/>
      <c r="AH171" s="834"/>
      <c r="AI171" s="834"/>
      <c r="AJ171" s="834"/>
      <c r="AK171" s="834"/>
      <c r="AL171" s="834"/>
      <c r="AM171" s="834"/>
      <c r="AN171" s="834"/>
      <c r="AO171" s="834"/>
      <c r="AP171" s="834"/>
      <c r="AQ171" s="834"/>
      <c r="AR171" s="834"/>
      <c r="AS171" s="834"/>
      <c r="AT171" s="834"/>
      <c r="AU171" s="834"/>
      <c r="AV171" s="834"/>
      <c r="AW171" s="834"/>
      <c r="AX171" s="834"/>
      <c r="AY171" s="834"/>
      <c r="AZ171" s="834"/>
      <c r="BA171" s="834"/>
      <c r="BB171" s="834"/>
      <c r="BC171" s="834"/>
      <c r="BD171" s="834"/>
      <c r="BE171" s="834"/>
      <c r="BF171" s="834"/>
      <c r="BG171" s="834"/>
      <c r="BH171" s="834"/>
      <c r="BI171" s="834"/>
      <c r="BJ171" s="834"/>
      <c r="BK171" s="834"/>
      <c r="BL171" s="834"/>
      <c r="BM171" s="834"/>
      <c r="BN171" s="834"/>
      <c r="BO171" s="834"/>
      <c r="BP171" s="834"/>
      <c r="BQ171" s="834"/>
      <c r="BR171" s="834"/>
      <c r="BS171" s="834"/>
      <c r="BT171" s="834"/>
      <c r="BU171" s="1162" t="str">
        <f t="shared" si="44"/>
        <v/>
      </c>
      <c r="BV171" s="1162"/>
      <c r="BW171" s="1162"/>
      <c r="BX171" s="1162"/>
      <c r="BY171" s="1162"/>
      <c r="BZ171" s="1162"/>
      <c r="CA171" s="1162"/>
      <c r="CB171" s="1162"/>
      <c r="CC171" s="1162"/>
      <c r="CD171" s="1162"/>
      <c r="CE171" s="1162"/>
      <c r="CF171" s="1162"/>
      <c r="CG171" s="834"/>
      <c r="CH171" s="834"/>
      <c r="CI171" s="834"/>
      <c r="CJ171" s="834"/>
      <c r="CK171" s="834"/>
      <c r="CL171" s="834"/>
      <c r="CM171" s="834"/>
      <c r="CN171" s="834"/>
      <c r="CO171" s="834"/>
      <c r="CP171" s="834"/>
      <c r="CQ171" s="834"/>
      <c r="CR171" s="834"/>
      <c r="CS171" s="834"/>
      <c r="CT171" s="834"/>
      <c r="CU171" s="834"/>
      <c r="CV171" s="834"/>
      <c r="CW171" s="834"/>
      <c r="CX171" s="834"/>
      <c r="CY171" s="834"/>
      <c r="CZ171" s="834"/>
      <c r="DA171" s="834"/>
      <c r="DB171" s="834"/>
      <c r="DC171" s="834"/>
      <c r="DD171" s="839"/>
      <c r="DE171" s="1098"/>
      <c r="DF171" s="1098"/>
      <c r="DG171" s="1098"/>
      <c r="DH171" s="1098"/>
      <c r="DI171" s="1098"/>
      <c r="DJ171" s="1098"/>
      <c r="DK171" s="1098"/>
      <c r="DL171" s="1098"/>
      <c r="DM171" s="1098"/>
      <c r="DN171" s="1098"/>
      <c r="DO171" s="1098"/>
    </row>
    <row r="172" spans="25:119" s="1086" customFormat="1">
      <c r="Y172" s="1113">
        <f t="shared" si="23"/>
        <v>23</v>
      </c>
      <c r="Z172" s="834"/>
      <c r="AA172" s="834"/>
      <c r="AB172" s="834"/>
      <c r="AC172" s="834"/>
      <c r="AD172" s="834"/>
      <c r="AE172" s="834"/>
      <c r="AF172" s="834"/>
      <c r="AG172" s="834"/>
      <c r="AH172" s="834"/>
      <c r="AI172" s="834"/>
      <c r="AJ172" s="834"/>
      <c r="AK172" s="834"/>
      <c r="AL172" s="834"/>
      <c r="AM172" s="834"/>
      <c r="AN172" s="834"/>
      <c r="AO172" s="834"/>
      <c r="AP172" s="834"/>
      <c r="AQ172" s="834"/>
      <c r="AR172" s="834"/>
      <c r="AS172" s="834"/>
      <c r="AT172" s="834"/>
      <c r="AU172" s="834"/>
      <c r="AV172" s="834"/>
      <c r="AW172" s="834"/>
      <c r="AX172" s="834"/>
      <c r="AY172" s="834"/>
      <c r="AZ172" s="834"/>
      <c r="BA172" s="834"/>
      <c r="BB172" s="834"/>
      <c r="BC172" s="834"/>
      <c r="BD172" s="834"/>
      <c r="BE172" s="834"/>
      <c r="BF172" s="834"/>
      <c r="BG172" s="834"/>
      <c r="BH172" s="834"/>
      <c r="BI172" s="834"/>
      <c r="BJ172" s="834"/>
      <c r="BK172" s="834"/>
      <c r="BL172" s="834"/>
      <c r="BM172" s="834"/>
      <c r="BN172" s="834"/>
      <c r="BO172" s="834"/>
      <c r="BP172" s="834"/>
      <c r="BQ172" s="834"/>
      <c r="BR172" s="834"/>
      <c r="BS172" s="834"/>
      <c r="BT172" s="834"/>
      <c r="BU172" s="1162" t="str">
        <f t="shared" si="44"/>
        <v/>
      </c>
      <c r="BV172" s="1162"/>
      <c r="BW172" s="1162"/>
      <c r="BX172" s="1162"/>
      <c r="BY172" s="1162"/>
      <c r="BZ172" s="1162"/>
      <c r="CA172" s="1162"/>
      <c r="CB172" s="1162"/>
      <c r="CC172" s="1162"/>
      <c r="CD172" s="1162"/>
      <c r="CE172" s="1162"/>
      <c r="CF172" s="1162"/>
      <c r="CG172" s="834"/>
      <c r="CH172" s="834"/>
      <c r="CI172" s="834"/>
      <c r="CJ172" s="834"/>
      <c r="CK172" s="834"/>
      <c r="CL172" s="834"/>
      <c r="CM172" s="834"/>
      <c r="CN172" s="834"/>
      <c r="CO172" s="834"/>
      <c r="CP172" s="834"/>
      <c r="CQ172" s="834"/>
      <c r="CR172" s="834"/>
      <c r="CS172" s="834"/>
      <c r="CT172" s="834"/>
      <c r="CU172" s="834"/>
      <c r="CV172" s="834"/>
      <c r="CW172" s="834"/>
      <c r="CX172" s="834"/>
      <c r="CY172" s="834"/>
      <c r="CZ172" s="834"/>
      <c r="DA172" s="834"/>
      <c r="DB172" s="834"/>
      <c r="DC172" s="834"/>
      <c r="DD172" s="839"/>
      <c r="DE172" s="1098"/>
      <c r="DF172" s="1098"/>
      <c r="DG172" s="1098"/>
      <c r="DH172" s="1098"/>
      <c r="DI172" s="1098"/>
      <c r="DJ172" s="1098"/>
      <c r="DK172" s="1098"/>
      <c r="DL172" s="1098"/>
      <c r="DM172" s="1098"/>
      <c r="DN172" s="1098"/>
      <c r="DO172" s="1098"/>
    </row>
    <row r="173" spans="25:119" s="1086" customFormat="1">
      <c r="Y173" s="1113">
        <f t="shared" si="23"/>
        <v>24</v>
      </c>
      <c r="Z173" s="834"/>
      <c r="AA173" s="834"/>
      <c r="AB173" s="834"/>
      <c r="AC173" s="834"/>
      <c r="AD173" s="834"/>
      <c r="AE173" s="834"/>
      <c r="AF173" s="834"/>
      <c r="AG173" s="834"/>
      <c r="AH173" s="834"/>
      <c r="AI173" s="834"/>
      <c r="AJ173" s="834"/>
      <c r="AK173" s="834"/>
      <c r="AL173" s="834"/>
      <c r="AM173" s="834"/>
      <c r="AN173" s="834"/>
      <c r="AO173" s="834"/>
      <c r="AP173" s="834"/>
      <c r="AQ173" s="834"/>
      <c r="AR173" s="834"/>
      <c r="AS173" s="834"/>
      <c r="AT173" s="834"/>
      <c r="AU173" s="834"/>
      <c r="AV173" s="834"/>
      <c r="AW173" s="834"/>
      <c r="AX173" s="834"/>
      <c r="AY173" s="834"/>
      <c r="AZ173" s="834"/>
      <c r="BA173" s="834"/>
      <c r="BB173" s="834"/>
      <c r="BC173" s="834"/>
      <c r="BD173" s="834"/>
      <c r="BE173" s="834"/>
      <c r="BF173" s="834"/>
      <c r="BG173" s="834"/>
      <c r="BH173" s="834"/>
      <c r="BI173" s="834"/>
      <c r="BJ173" s="834"/>
      <c r="BK173" s="834"/>
      <c r="BL173" s="834"/>
      <c r="BM173" s="834"/>
      <c r="BN173" s="834"/>
      <c r="BO173" s="834"/>
      <c r="BP173" s="834"/>
      <c r="BQ173" s="834"/>
      <c r="BR173" s="834"/>
      <c r="BS173" s="834"/>
      <c r="BT173" s="834"/>
      <c r="BU173" s="1162" t="str">
        <f t="shared" si="44"/>
        <v/>
      </c>
      <c r="BV173" s="1162"/>
      <c r="BW173" s="1162"/>
      <c r="BX173" s="1162"/>
      <c r="BY173" s="1162"/>
      <c r="BZ173" s="1162"/>
      <c r="CA173" s="1162"/>
      <c r="CB173" s="1162"/>
      <c r="CC173" s="1162"/>
      <c r="CD173" s="1162"/>
      <c r="CE173" s="1162"/>
      <c r="CF173" s="1162"/>
      <c r="CG173" s="834"/>
      <c r="CH173" s="834"/>
      <c r="CI173" s="834"/>
      <c r="CJ173" s="834"/>
      <c r="CK173" s="834"/>
      <c r="CL173" s="834"/>
      <c r="CM173" s="834"/>
      <c r="CN173" s="834"/>
      <c r="CO173" s="834"/>
      <c r="CP173" s="834"/>
      <c r="CQ173" s="834"/>
      <c r="CR173" s="834"/>
      <c r="CS173" s="834"/>
      <c r="CT173" s="834"/>
      <c r="CU173" s="834"/>
      <c r="CV173" s="834"/>
      <c r="CW173" s="834"/>
      <c r="CX173" s="834"/>
      <c r="CY173" s="834"/>
      <c r="CZ173" s="834"/>
      <c r="DA173" s="834"/>
      <c r="DB173" s="834"/>
      <c r="DC173" s="834"/>
      <c r="DD173" s="839"/>
      <c r="DE173" s="1098"/>
      <c r="DF173" s="1098"/>
      <c r="DG173" s="1098"/>
      <c r="DH173" s="1098"/>
      <c r="DI173" s="1098"/>
      <c r="DJ173" s="1098"/>
      <c r="DK173" s="1098"/>
      <c r="DL173" s="1098"/>
      <c r="DM173" s="1098"/>
      <c r="DN173" s="1098"/>
      <c r="DO173" s="1098"/>
    </row>
    <row r="174" spans="25:119" s="1086" customFormat="1">
      <c r="Y174" s="1113">
        <f t="shared" si="23"/>
        <v>25</v>
      </c>
      <c r="Z174" s="834"/>
      <c r="AA174" s="834"/>
      <c r="AB174" s="834"/>
      <c r="AC174" s="834"/>
      <c r="AD174" s="834"/>
      <c r="AE174" s="834"/>
      <c r="AF174" s="834"/>
      <c r="AG174" s="834"/>
      <c r="AH174" s="834"/>
      <c r="AI174" s="834"/>
      <c r="AJ174" s="834"/>
      <c r="AK174" s="834"/>
      <c r="AL174" s="834"/>
      <c r="AM174" s="834"/>
      <c r="AN174" s="834"/>
      <c r="AO174" s="834"/>
      <c r="AP174" s="834"/>
      <c r="AQ174" s="834"/>
      <c r="AR174" s="834"/>
      <c r="AS174" s="834"/>
      <c r="AT174" s="834"/>
      <c r="AU174" s="834"/>
      <c r="AV174" s="834"/>
      <c r="AW174" s="834"/>
      <c r="AX174" s="834"/>
      <c r="AY174" s="834"/>
      <c r="AZ174" s="834"/>
      <c r="BA174" s="834"/>
      <c r="BB174" s="834"/>
      <c r="BC174" s="834"/>
      <c r="BD174" s="834"/>
      <c r="BE174" s="834"/>
      <c r="BF174" s="834"/>
      <c r="BG174" s="834"/>
      <c r="BH174" s="834"/>
      <c r="BI174" s="834"/>
      <c r="BJ174" s="834"/>
      <c r="BK174" s="834"/>
      <c r="BL174" s="834"/>
      <c r="BM174" s="834"/>
      <c r="BN174" s="834"/>
      <c r="BO174" s="834"/>
      <c r="BP174" s="834"/>
      <c r="BQ174" s="834"/>
      <c r="BR174" s="834"/>
      <c r="BS174" s="834"/>
      <c r="BT174" s="834"/>
      <c r="BU174" s="834"/>
      <c r="BV174" s="834"/>
      <c r="BW174" s="834"/>
      <c r="BX174" s="834"/>
      <c r="BY174" s="834"/>
      <c r="BZ174" s="834"/>
      <c r="CA174" s="834"/>
      <c r="CB174" s="834"/>
      <c r="CC174" s="834"/>
      <c r="CD174" s="834"/>
      <c r="CE174" s="834"/>
      <c r="CF174" s="834"/>
      <c r="CG174" s="834"/>
      <c r="CH174" s="834"/>
      <c r="CI174" s="834"/>
      <c r="CJ174" s="834"/>
      <c r="CK174" s="834"/>
      <c r="CL174" s="834"/>
      <c r="CM174" s="834"/>
      <c r="CN174" s="834"/>
      <c r="CO174" s="834"/>
      <c r="CP174" s="834"/>
      <c r="CQ174" s="834"/>
      <c r="CR174" s="834"/>
      <c r="CS174" s="834"/>
      <c r="CT174" s="834"/>
      <c r="CU174" s="834"/>
      <c r="CV174" s="834"/>
      <c r="CW174" s="834"/>
      <c r="CX174" s="834"/>
      <c r="CY174" s="834"/>
      <c r="CZ174" s="834"/>
      <c r="DA174" s="834"/>
      <c r="DB174" s="834"/>
      <c r="DC174" s="834"/>
      <c r="DD174" s="839"/>
      <c r="DE174" s="1098"/>
      <c r="DF174" s="1098"/>
      <c r="DG174" s="1098"/>
      <c r="DH174" s="1098"/>
      <c r="DI174" s="1098"/>
      <c r="DJ174" s="1098"/>
      <c r="DK174" s="1098"/>
      <c r="DL174" s="1098"/>
      <c r="DM174" s="1098"/>
      <c r="DN174" s="1098"/>
      <c r="DO174" s="1098"/>
    </row>
    <row r="175" spans="25:119" s="1086" customFormat="1">
      <c r="Y175" s="1113">
        <f t="shared" si="23"/>
        <v>26</v>
      </c>
      <c r="Z175" s="834"/>
      <c r="AA175" s="834"/>
      <c r="AB175" s="834"/>
      <c r="AC175" s="834"/>
      <c r="AD175" s="834"/>
      <c r="AE175" s="834"/>
      <c r="AF175" s="834"/>
      <c r="AG175" s="834"/>
      <c r="AH175" s="834"/>
      <c r="AI175" s="834"/>
      <c r="AJ175" s="834"/>
      <c r="AK175" s="834"/>
      <c r="AL175" s="834"/>
      <c r="AM175" s="834"/>
      <c r="AN175" s="834"/>
      <c r="AO175" s="834"/>
      <c r="AP175" s="834"/>
      <c r="AQ175" s="834"/>
      <c r="AR175" s="834"/>
      <c r="AS175" s="834"/>
      <c r="AT175" s="834"/>
      <c r="AU175" s="834"/>
      <c r="AV175" s="834"/>
      <c r="AW175" s="834"/>
      <c r="AX175" s="834"/>
      <c r="AY175" s="834"/>
      <c r="AZ175" s="834"/>
      <c r="BA175" s="834"/>
      <c r="BB175" s="834"/>
      <c r="BC175" s="834"/>
      <c r="BD175" s="834"/>
      <c r="BE175" s="834"/>
      <c r="BF175" s="834"/>
      <c r="BG175" s="834"/>
      <c r="BH175" s="834"/>
      <c r="BI175" s="834"/>
      <c r="BJ175" s="834"/>
      <c r="BK175" s="834"/>
      <c r="BL175" s="834"/>
      <c r="BM175" s="834"/>
      <c r="BN175" s="834"/>
      <c r="BO175" s="834"/>
      <c r="BP175" s="834"/>
      <c r="BQ175" s="834"/>
      <c r="BR175" s="834"/>
      <c r="BS175" s="834"/>
      <c r="BT175" s="834"/>
      <c r="BU175" s="834"/>
      <c r="BV175" s="834"/>
      <c r="BW175" s="834"/>
      <c r="BX175" s="834"/>
      <c r="BY175" s="834"/>
      <c r="BZ175" s="834"/>
      <c r="CA175" s="834"/>
      <c r="CB175" s="834"/>
      <c r="CC175" s="834"/>
      <c r="CD175" s="834"/>
      <c r="CE175" s="834"/>
      <c r="CF175" s="834"/>
      <c r="CG175" s="834"/>
      <c r="CH175" s="834"/>
      <c r="CI175" s="834"/>
      <c r="CJ175" s="834"/>
      <c r="CK175" s="834"/>
      <c r="CL175" s="834"/>
      <c r="CM175" s="834"/>
      <c r="CN175" s="834"/>
      <c r="CO175" s="834"/>
      <c r="CP175" s="834"/>
      <c r="CQ175" s="834"/>
      <c r="CR175" s="834"/>
      <c r="CS175" s="834"/>
      <c r="CT175" s="834"/>
      <c r="CU175" s="834"/>
      <c r="CV175" s="834"/>
      <c r="CW175" s="834"/>
      <c r="CX175" s="834"/>
      <c r="CY175" s="834"/>
      <c r="CZ175" s="834"/>
      <c r="DA175" s="834"/>
      <c r="DB175" s="834"/>
      <c r="DC175" s="834"/>
      <c r="DD175" s="839"/>
      <c r="DE175" s="1098"/>
      <c r="DF175" s="1098"/>
      <c r="DG175" s="1098"/>
      <c r="DH175" s="1098"/>
      <c r="DI175" s="1098"/>
      <c r="DJ175" s="1098"/>
      <c r="DK175" s="1098"/>
      <c r="DL175" s="1098"/>
      <c r="DM175" s="1098"/>
      <c r="DN175" s="1098"/>
      <c r="DO175" s="1098"/>
    </row>
    <row r="176" spans="25:119" s="1086" customFormat="1">
      <c r="Y176" s="1113">
        <f t="shared" si="23"/>
        <v>27</v>
      </c>
      <c r="Z176" s="834"/>
      <c r="AA176" s="834"/>
      <c r="AB176" s="834"/>
      <c r="AC176" s="834"/>
      <c r="AD176" s="834"/>
      <c r="AE176" s="834"/>
      <c r="AF176" s="834"/>
      <c r="AG176" s="834"/>
      <c r="AH176" s="834"/>
      <c r="AI176" s="834"/>
      <c r="AJ176" s="834"/>
      <c r="AK176" s="834"/>
      <c r="AL176" s="834"/>
      <c r="AM176" s="834"/>
      <c r="AN176" s="834"/>
      <c r="AO176" s="834"/>
      <c r="AP176" s="834"/>
      <c r="AQ176" s="834"/>
      <c r="AR176" s="834"/>
      <c r="AS176" s="834"/>
      <c r="AT176" s="834"/>
      <c r="AU176" s="834"/>
      <c r="AV176" s="834"/>
      <c r="AW176" s="834"/>
      <c r="AX176" s="834"/>
      <c r="AY176" s="834"/>
      <c r="AZ176" s="834"/>
      <c r="BA176" s="834"/>
      <c r="BB176" s="834"/>
      <c r="BC176" s="834"/>
      <c r="BD176" s="834"/>
      <c r="BE176" s="834"/>
      <c r="BF176" s="834"/>
      <c r="BG176" s="834"/>
      <c r="BH176" s="834"/>
      <c r="BI176" s="834"/>
      <c r="BJ176" s="834"/>
      <c r="BK176" s="834"/>
      <c r="BL176" s="834"/>
      <c r="BM176" s="834"/>
      <c r="BN176" s="834"/>
      <c r="BO176" s="834"/>
      <c r="BP176" s="834"/>
      <c r="BQ176" s="834"/>
      <c r="BR176" s="834"/>
      <c r="BS176" s="834"/>
      <c r="BT176" s="834"/>
      <c r="BU176" s="834"/>
      <c r="BV176" s="834"/>
      <c r="BW176" s="834"/>
      <c r="BX176" s="834"/>
      <c r="BY176" s="834"/>
      <c r="BZ176" s="834"/>
      <c r="CA176" s="834"/>
      <c r="CB176" s="834"/>
      <c r="CC176" s="834"/>
      <c r="CD176" s="834"/>
      <c r="CE176" s="834"/>
      <c r="CF176" s="834"/>
      <c r="CG176" s="834"/>
      <c r="CH176" s="834"/>
      <c r="CI176" s="834"/>
      <c r="CJ176" s="834"/>
      <c r="CK176" s="834"/>
      <c r="CL176" s="834"/>
      <c r="CM176" s="834"/>
      <c r="CN176" s="834"/>
      <c r="CO176" s="834"/>
      <c r="CP176" s="834"/>
      <c r="CQ176" s="834"/>
      <c r="CR176" s="834"/>
      <c r="CS176" s="834"/>
      <c r="CT176" s="834"/>
      <c r="CU176" s="834"/>
      <c r="CV176" s="834"/>
      <c r="CW176" s="834"/>
      <c r="CX176" s="834"/>
      <c r="CY176" s="834"/>
      <c r="CZ176" s="834"/>
      <c r="DA176" s="834"/>
      <c r="DB176" s="834"/>
      <c r="DC176" s="834"/>
      <c r="DD176" s="839"/>
      <c r="DE176" s="1098"/>
      <c r="DF176" s="1098"/>
      <c r="DG176" s="1098"/>
      <c r="DH176" s="1098"/>
      <c r="DI176" s="1098"/>
      <c r="DJ176" s="1098"/>
      <c r="DK176" s="1098"/>
      <c r="DL176" s="1098"/>
      <c r="DM176" s="1098"/>
      <c r="DN176" s="1098"/>
      <c r="DO176" s="1098"/>
    </row>
    <row r="177" spans="25:119" s="1086" customFormat="1">
      <c r="Y177" s="1089"/>
      <c r="Z177" s="834"/>
      <c r="AA177" s="834"/>
      <c r="AB177" s="834"/>
      <c r="AC177" s="834"/>
      <c r="AD177" s="834"/>
      <c r="AE177" s="834"/>
      <c r="AF177" s="834"/>
      <c r="AG177" s="834"/>
      <c r="AH177" s="834"/>
      <c r="AI177" s="834"/>
      <c r="AJ177" s="834"/>
      <c r="AK177" s="834"/>
      <c r="AL177" s="834"/>
      <c r="AM177" s="834"/>
      <c r="AN177" s="834"/>
      <c r="AO177" s="834"/>
      <c r="AP177" s="834"/>
      <c r="AQ177" s="834"/>
      <c r="AR177" s="834"/>
      <c r="AS177" s="834"/>
      <c r="AT177" s="834"/>
      <c r="AU177" s="834"/>
      <c r="AV177" s="834"/>
      <c r="AW177" s="834"/>
      <c r="AX177" s="834"/>
      <c r="AY177" s="834"/>
      <c r="AZ177" s="834"/>
      <c r="BA177" s="834"/>
      <c r="BB177" s="834"/>
      <c r="BC177" s="834"/>
      <c r="BD177" s="834"/>
      <c r="BE177" s="834"/>
      <c r="BF177" s="834"/>
      <c r="BG177" s="834"/>
      <c r="BH177" s="834"/>
      <c r="BI177" s="834"/>
      <c r="BJ177" s="834"/>
      <c r="BK177" s="834"/>
      <c r="BL177" s="834"/>
      <c r="BM177" s="834"/>
      <c r="BN177" s="834"/>
      <c r="BO177" s="834"/>
      <c r="BP177" s="834"/>
      <c r="BQ177" s="834"/>
      <c r="BR177" s="834"/>
      <c r="BS177" s="834"/>
      <c r="BT177" s="834"/>
      <c r="BU177" s="834"/>
      <c r="BV177" s="834"/>
      <c r="BW177" s="834"/>
      <c r="BX177" s="834"/>
      <c r="BY177" s="834"/>
      <c r="BZ177" s="834"/>
      <c r="CA177" s="834"/>
      <c r="CB177" s="834"/>
      <c r="CC177" s="834"/>
      <c r="CD177" s="834"/>
      <c r="CE177" s="834"/>
      <c r="CF177" s="834"/>
      <c r="CG177" s="834"/>
      <c r="CH177" s="834"/>
      <c r="CI177" s="834"/>
      <c r="CJ177" s="834"/>
      <c r="CK177" s="834"/>
      <c r="CL177" s="834"/>
      <c r="CM177" s="834"/>
      <c r="CN177" s="834"/>
      <c r="CO177" s="834"/>
      <c r="CP177" s="834"/>
      <c r="CQ177" s="834"/>
      <c r="CR177" s="834"/>
      <c r="CS177" s="834"/>
      <c r="CT177" s="834"/>
      <c r="CU177" s="834"/>
      <c r="CV177" s="834"/>
      <c r="CW177" s="834"/>
      <c r="CX177" s="834"/>
      <c r="CY177" s="834"/>
      <c r="CZ177" s="834"/>
      <c r="DA177" s="834"/>
      <c r="DB177" s="834"/>
      <c r="DC177" s="834"/>
      <c r="DD177" s="839"/>
      <c r="DE177" s="1098"/>
      <c r="DF177" s="1098"/>
      <c r="DG177" s="1098"/>
      <c r="DH177" s="1098"/>
      <c r="DI177" s="1098"/>
      <c r="DJ177" s="1098"/>
      <c r="DK177" s="1098"/>
      <c r="DL177" s="1098"/>
      <c r="DM177" s="1098"/>
      <c r="DN177" s="1098"/>
      <c r="DO177" s="1098"/>
    </row>
    <row r="178" spans="25:119" s="1086" customFormat="1">
      <c r="Y178" s="1089"/>
      <c r="Z178" s="834"/>
      <c r="AA178" s="834"/>
      <c r="AB178" s="834"/>
      <c r="AC178" s="834"/>
      <c r="AD178" s="834"/>
      <c r="AE178" s="834"/>
      <c r="AF178" s="834"/>
      <c r="AG178" s="834"/>
      <c r="AH178" s="834"/>
      <c r="AI178" s="834"/>
      <c r="AJ178" s="834"/>
      <c r="AK178" s="834"/>
      <c r="AL178" s="834"/>
      <c r="AM178" s="834"/>
      <c r="AN178" s="834"/>
      <c r="AO178" s="834"/>
      <c r="AP178" s="834"/>
      <c r="AQ178" s="834"/>
      <c r="AR178" s="834"/>
      <c r="AS178" s="834"/>
      <c r="AT178" s="834"/>
      <c r="AU178" s="834"/>
      <c r="AV178" s="834"/>
      <c r="AW178" s="834"/>
      <c r="AX178" s="834"/>
      <c r="AY178" s="834"/>
      <c r="AZ178" s="834"/>
      <c r="BA178" s="834"/>
      <c r="BB178" s="834"/>
      <c r="BC178" s="834"/>
      <c r="BD178" s="834"/>
      <c r="BE178" s="834"/>
      <c r="BF178" s="834"/>
      <c r="BG178" s="834"/>
      <c r="BH178" s="834"/>
      <c r="BI178" s="834"/>
      <c r="BJ178" s="834"/>
      <c r="BK178" s="834"/>
      <c r="BL178" s="834"/>
      <c r="BM178" s="834"/>
      <c r="BN178" s="834"/>
      <c r="BO178" s="834"/>
      <c r="BP178" s="834"/>
      <c r="BQ178" s="834"/>
      <c r="BR178" s="834"/>
      <c r="BS178" s="834"/>
      <c r="BT178" s="834"/>
      <c r="BU178" s="834"/>
      <c r="BV178" s="834"/>
      <c r="BW178" s="834"/>
      <c r="BX178" s="834"/>
      <c r="BY178" s="834"/>
      <c r="BZ178" s="834"/>
      <c r="CA178" s="834"/>
      <c r="CB178" s="834"/>
      <c r="CC178" s="834"/>
      <c r="CD178" s="834"/>
      <c r="CE178" s="834"/>
      <c r="CF178" s="834"/>
      <c r="CG178" s="834"/>
      <c r="CH178" s="834"/>
      <c r="CI178" s="834"/>
      <c r="CJ178" s="834"/>
      <c r="CK178" s="834"/>
      <c r="CL178" s="834"/>
      <c r="CM178" s="834"/>
      <c r="CN178" s="834"/>
      <c r="CO178" s="834"/>
      <c r="CP178" s="834"/>
      <c r="CQ178" s="834"/>
      <c r="CR178" s="834"/>
      <c r="CS178" s="834"/>
      <c r="CT178" s="834"/>
      <c r="CU178" s="834"/>
      <c r="CV178" s="834"/>
      <c r="CW178" s="834"/>
      <c r="CX178" s="834"/>
      <c r="CY178" s="834"/>
      <c r="CZ178" s="834"/>
      <c r="DA178" s="834"/>
      <c r="DB178" s="834"/>
      <c r="DC178" s="834"/>
      <c r="DD178" s="839"/>
      <c r="DE178" s="1098"/>
      <c r="DF178" s="1098"/>
      <c r="DG178" s="1098"/>
      <c r="DH178" s="1098"/>
      <c r="DI178" s="1098"/>
      <c r="DJ178" s="1098"/>
      <c r="DK178" s="1098"/>
      <c r="DL178" s="1098"/>
      <c r="DM178" s="1098"/>
      <c r="DN178" s="1098"/>
      <c r="DO178" s="1098"/>
    </row>
    <row r="179" spans="25:119" s="1086" customFormat="1">
      <c r="Y179" s="1089"/>
      <c r="Z179" s="834"/>
      <c r="AA179" s="834"/>
      <c r="AB179" s="834"/>
      <c r="AC179" s="834"/>
      <c r="AD179" s="834"/>
      <c r="AE179" s="834"/>
      <c r="AF179" s="834"/>
      <c r="AG179" s="834"/>
      <c r="AH179" s="834"/>
      <c r="AI179" s="834"/>
      <c r="AJ179" s="834"/>
      <c r="AK179" s="834"/>
      <c r="AL179" s="834"/>
      <c r="AM179" s="834"/>
      <c r="AN179" s="834"/>
      <c r="AO179" s="834"/>
      <c r="AP179" s="834"/>
      <c r="AQ179" s="834"/>
      <c r="AR179" s="834"/>
      <c r="AS179" s="834"/>
      <c r="AT179" s="834"/>
      <c r="AU179" s="834"/>
      <c r="AV179" s="834"/>
      <c r="AW179" s="834"/>
      <c r="AX179" s="834"/>
      <c r="AY179" s="834"/>
      <c r="AZ179" s="834"/>
      <c r="BA179" s="834"/>
      <c r="BB179" s="834"/>
      <c r="BC179" s="834"/>
      <c r="BD179" s="834"/>
      <c r="BE179" s="834"/>
      <c r="BF179" s="834"/>
      <c r="BG179" s="834"/>
      <c r="BH179" s="834"/>
      <c r="BI179" s="834"/>
      <c r="BJ179" s="834"/>
      <c r="BK179" s="834"/>
      <c r="BL179" s="834"/>
      <c r="BM179" s="834"/>
      <c r="BN179" s="834"/>
      <c r="BO179" s="834"/>
      <c r="BP179" s="834"/>
      <c r="BQ179" s="834"/>
      <c r="BR179" s="834"/>
      <c r="BS179" s="834"/>
      <c r="BT179" s="834"/>
      <c r="BU179" s="834"/>
      <c r="BV179" s="834"/>
      <c r="BW179" s="834"/>
      <c r="BX179" s="834"/>
      <c r="BY179" s="834"/>
      <c r="BZ179" s="834"/>
      <c r="CA179" s="834"/>
      <c r="CB179" s="834"/>
      <c r="CC179" s="834"/>
      <c r="CD179" s="834"/>
      <c r="CE179" s="834"/>
      <c r="CF179" s="834"/>
      <c r="CG179" s="834"/>
      <c r="CH179" s="834"/>
      <c r="CI179" s="834"/>
      <c r="CJ179" s="834"/>
      <c r="CK179" s="834"/>
      <c r="CL179" s="834"/>
      <c r="CM179" s="834"/>
      <c r="CN179" s="834"/>
      <c r="CO179" s="834"/>
      <c r="CP179" s="834"/>
      <c r="CQ179" s="834"/>
      <c r="CR179" s="834"/>
      <c r="CS179" s="834"/>
      <c r="CT179" s="834"/>
      <c r="CU179" s="834"/>
      <c r="CV179" s="834"/>
      <c r="CW179" s="834"/>
      <c r="CX179" s="834"/>
      <c r="CY179" s="834"/>
      <c r="CZ179" s="834"/>
      <c r="DA179" s="834"/>
      <c r="DB179" s="834"/>
      <c r="DC179" s="834"/>
      <c r="DD179" s="839"/>
      <c r="DE179" s="1098"/>
      <c r="DF179" s="1098"/>
      <c r="DG179" s="1098"/>
      <c r="DH179" s="1098"/>
      <c r="DI179" s="1098"/>
      <c r="DJ179" s="1098"/>
      <c r="DK179" s="1098"/>
      <c r="DL179" s="1098"/>
      <c r="DM179" s="1098"/>
      <c r="DN179" s="1098"/>
      <c r="DO179" s="1098"/>
    </row>
    <row r="180" spans="25:119" s="1086" customFormat="1">
      <c r="Y180" s="1089"/>
      <c r="Z180" s="834"/>
      <c r="AA180" s="834"/>
      <c r="AB180" s="834"/>
      <c r="AC180" s="834"/>
      <c r="AD180" s="834"/>
      <c r="AE180" s="834"/>
      <c r="AF180" s="834"/>
      <c r="AG180" s="834"/>
      <c r="AH180" s="834"/>
      <c r="AI180" s="834"/>
      <c r="AJ180" s="834"/>
      <c r="AK180" s="834"/>
      <c r="AL180" s="834"/>
      <c r="AM180" s="834"/>
      <c r="AN180" s="834"/>
      <c r="AO180" s="834"/>
      <c r="AP180" s="834"/>
      <c r="AQ180" s="834"/>
      <c r="AR180" s="834"/>
      <c r="AS180" s="834"/>
      <c r="AT180" s="834"/>
      <c r="AU180" s="834"/>
      <c r="AV180" s="834"/>
      <c r="AW180" s="834"/>
      <c r="AX180" s="834"/>
      <c r="AY180" s="834"/>
      <c r="AZ180" s="834"/>
      <c r="BA180" s="834"/>
      <c r="BB180" s="834"/>
      <c r="BC180" s="834"/>
      <c r="BD180" s="834"/>
      <c r="BE180" s="834"/>
      <c r="BF180" s="834"/>
      <c r="BG180" s="834"/>
      <c r="BH180" s="834"/>
      <c r="BI180" s="834"/>
      <c r="BJ180" s="834"/>
      <c r="BK180" s="834"/>
      <c r="BL180" s="834"/>
      <c r="BM180" s="834"/>
      <c r="BN180" s="834"/>
      <c r="BO180" s="834"/>
      <c r="BP180" s="834"/>
      <c r="BQ180" s="834"/>
      <c r="BR180" s="834"/>
      <c r="BS180" s="834"/>
      <c r="BT180" s="834"/>
      <c r="BU180" s="834"/>
      <c r="BV180" s="834"/>
      <c r="BW180" s="834"/>
      <c r="BX180" s="834"/>
      <c r="BY180" s="834"/>
      <c r="BZ180" s="834"/>
      <c r="CA180" s="834"/>
      <c r="CB180" s="834"/>
      <c r="CC180" s="834"/>
      <c r="CD180" s="834"/>
      <c r="CE180" s="834"/>
      <c r="CF180" s="834"/>
      <c r="CG180" s="834"/>
      <c r="CH180" s="834"/>
      <c r="CI180" s="834"/>
      <c r="CJ180" s="834"/>
      <c r="CK180" s="834"/>
      <c r="CL180" s="834"/>
      <c r="CM180" s="834"/>
      <c r="CN180" s="834"/>
      <c r="CO180" s="834"/>
      <c r="CP180" s="834"/>
      <c r="CQ180" s="834"/>
      <c r="CR180" s="834"/>
      <c r="CS180" s="834"/>
      <c r="CT180" s="834"/>
      <c r="CU180" s="834"/>
      <c r="CV180" s="834"/>
      <c r="CW180" s="834"/>
      <c r="CX180" s="834"/>
      <c r="CY180" s="834"/>
      <c r="CZ180" s="834"/>
      <c r="DA180" s="834"/>
      <c r="DB180" s="834"/>
      <c r="DC180" s="834"/>
      <c r="DD180" s="839"/>
      <c r="DE180" s="1098"/>
      <c r="DF180" s="1098"/>
      <c r="DG180" s="1098"/>
      <c r="DH180" s="1098"/>
      <c r="DI180" s="1098"/>
      <c r="DJ180" s="1098"/>
      <c r="DK180" s="1098"/>
      <c r="DL180" s="1098"/>
      <c r="DM180" s="1098"/>
      <c r="DN180" s="1098"/>
      <c r="DO180" s="1098"/>
    </row>
    <row r="181" spans="25:119" s="1086" customFormat="1">
      <c r="Y181" s="1089"/>
      <c r="Z181" s="834"/>
      <c r="AA181" s="834"/>
      <c r="AB181" s="834"/>
      <c r="AC181" s="834"/>
      <c r="AD181" s="834"/>
      <c r="AE181" s="834"/>
      <c r="AF181" s="834"/>
      <c r="AG181" s="834"/>
      <c r="AH181" s="834"/>
      <c r="AI181" s="834"/>
      <c r="AJ181" s="834"/>
      <c r="AK181" s="834"/>
      <c r="AL181" s="834"/>
      <c r="AM181" s="834"/>
      <c r="AN181" s="834"/>
      <c r="AO181" s="834"/>
      <c r="AP181" s="834"/>
      <c r="AQ181" s="834"/>
      <c r="AR181" s="834"/>
      <c r="AS181" s="834"/>
      <c r="AT181" s="834"/>
      <c r="AU181" s="834"/>
      <c r="AV181" s="834"/>
      <c r="AW181" s="834"/>
      <c r="AX181" s="834"/>
      <c r="AY181" s="834"/>
      <c r="AZ181" s="834"/>
      <c r="BA181" s="834"/>
      <c r="BB181" s="834"/>
      <c r="BC181" s="834"/>
      <c r="BD181" s="834"/>
      <c r="BE181" s="834"/>
      <c r="BF181" s="834"/>
      <c r="BG181" s="834"/>
      <c r="BH181" s="834"/>
      <c r="BI181" s="834"/>
      <c r="BJ181" s="834"/>
      <c r="BK181" s="834"/>
      <c r="BL181" s="834"/>
      <c r="BM181" s="834"/>
      <c r="BN181" s="834"/>
      <c r="BO181" s="834"/>
      <c r="BP181" s="834"/>
      <c r="BQ181" s="834"/>
      <c r="BR181" s="834"/>
      <c r="BS181" s="834"/>
      <c r="BT181" s="834"/>
      <c r="BU181" s="834"/>
      <c r="BV181" s="834"/>
      <c r="BW181" s="834"/>
      <c r="BX181" s="834"/>
      <c r="BY181" s="834"/>
      <c r="BZ181" s="834"/>
      <c r="CA181" s="834"/>
      <c r="CB181" s="834"/>
      <c r="CC181" s="834"/>
      <c r="CD181" s="834"/>
      <c r="CE181" s="834"/>
      <c r="CF181" s="834"/>
      <c r="CG181" s="834"/>
      <c r="CH181" s="834"/>
      <c r="CI181" s="834"/>
      <c r="CJ181" s="834"/>
      <c r="CK181" s="834"/>
      <c r="CL181" s="834"/>
      <c r="CM181" s="834"/>
      <c r="CN181" s="834"/>
      <c r="CO181" s="834"/>
      <c r="CP181" s="834"/>
      <c r="CQ181" s="834"/>
      <c r="CR181" s="834"/>
      <c r="CS181" s="834"/>
      <c r="CT181" s="834"/>
      <c r="CU181" s="834"/>
      <c r="CV181" s="834"/>
      <c r="CW181" s="834"/>
      <c r="CX181" s="834"/>
      <c r="CY181" s="834"/>
      <c r="CZ181" s="834"/>
      <c r="DA181" s="834"/>
      <c r="DB181" s="834"/>
      <c r="DC181" s="834"/>
      <c r="DD181" s="839"/>
      <c r="DE181" s="1098"/>
      <c r="DF181" s="1098"/>
      <c r="DG181" s="1098"/>
      <c r="DH181" s="1098"/>
      <c r="DI181" s="1098"/>
      <c r="DJ181" s="1098"/>
      <c r="DK181" s="1098"/>
      <c r="DL181" s="1098"/>
      <c r="DM181" s="1098"/>
      <c r="DN181" s="1098"/>
      <c r="DO181" s="1098"/>
    </row>
    <row r="182" spans="25:119" s="1086" customFormat="1">
      <c r="Y182" s="1089"/>
      <c r="Z182" s="834"/>
      <c r="AA182" s="834"/>
      <c r="AB182" s="834"/>
      <c r="AC182" s="834"/>
      <c r="AD182" s="834"/>
      <c r="AE182" s="834"/>
      <c r="AF182" s="834"/>
      <c r="AG182" s="834"/>
      <c r="AH182" s="834"/>
      <c r="AI182" s="834"/>
      <c r="AJ182" s="834"/>
      <c r="AK182" s="834"/>
      <c r="AL182" s="834"/>
      <c r="AM182" s="834"/>
      <c r="AN182" s="834"/>
      <c r="AO182" s="834"/>
      <c r="AP182" s="834"/>
      <c r="AQ182" s="834"/>
      <c r="AR182" s="834"/>
      <c r="AS182" s="834"/>
      <c r="AT182" s="834"/>
      <c r="AU182" s="834"/>
      <c r="AV182" s="834"/>
      <c r="AW182" s="834"/>
      <c r="AX182" s="834"/>
      <c r="AY182" s="834"/>
      <c r="AZ182" s="834"/>
      <c r="BA182" s="834"/>
      <c r="BB182" s="834"/>
      <c r="BC182" s="834"/>
      <c r="BD182" s="834"/>
      <c r="BE182" s="834"/>
      <c r="BF182" s="834"/>
      <c r="BG182" s="834"/>
      <c r="BH182" s="834"/>
      <c r="BI182" s="834"/>
      <c r="BJ182" s="834"/>
      <c r="BK182" s="834"/>
      <c r="BL182" s="834"/>
      <c r="BM182" s="834"/>
      <c r="BN182" s="834"/>
      <c r="BO182" s="834"/>
      <c r="BP182" s="834"/>
      <c r="BQ182" s="834"/>
      <c r="BR182" s="834"/>
      <c r="BS182" s="834"/>
      <c r="BT182" s="834"/>
      <c r="BU182" s="834"/>
      <c r="BV182" s="834"/>
      <c r="BW182" s="834"/>
      <c r="BX182" s="834"/>
      <c r="BY182" s="834"/>
      <c r="BZ182" s="834"/>
      <c r="CA182" s="834"/>
      <c r="CB182" s="834"/>
      <c r="CC182" s="834"/>
      <c r="CD182" s="834"/>
      <c r="CE182" s="834"/>
      <c r="CF182" s="834"/>
      <c r="CG182" s="834"/>
      <c r="CH182" s="834"/>
      <c r="CI182" s="834"/>
      <c r="CJ182" s="834"/>
      <c r="CK182" s="834"/>
      <c r="CL182" s="834"/>
      <c r="CM182" s="834"/>
      <c r="CN182" s="834"/>
      <c r="CO182" s="834"/>
      <c r="CP182" s="834"/>
      <c r="CQ182" s="834"/>
      <c r="CR182" s="834"/>
      <c r="CS182" s="834"/>
      <c r="CT182" s="834"/>
      <c r="CU182" s="834"/>
      <c r="CV182" s="834"/>
      <c r="CW182" s="834"/>
      <c r="CX182" s="834"/>
      <c r="CY182" s="834"/>
      <c r="CZ182" s="834"/>
      <c r="DA182" s="834"/>
      <c r="DB182" s="834"/>
      <c r="DC182" s="834"/>
      <c r="DD182" s="839"/>
      <c r="DE182" s="1098"/>
      <c r="DF182" s="1098"/>
      <c r="DG182" s="1098"/>
      <c r="DH182" s="1098"/>
      <c r="DI182" s="1098"/>
      <c r="DJ182" s="1098"/>
      <c r="DK182" s="1098"/>
      <c r="DL182" s="1098"/>
      <c r="DM182" s="1098"/>
      <c r="DN182" s="1098"/>
      <c r="DO182" s="1098"/>
    </row>
    <row r="183" spans="25:119" s="1086" customFormat="1">
      <c r="Y183" s="1089"/>
      <c r="Z183" s="834"/>
      <c r="AA183" s="834"/>
      <c r="AB183" s="834"/>
      <c r="AC183" s="834"/>
      <c r="AD183" s="834"/>
      <c r="AE183" s="834"/>
      <c r="AF183" s="834"/>
      <c r="AG183" s="834"/>
      <c r="AH183" s="834"/>
      <c r="AI183" s="834"/>
      <c r="AJ183" s="834"/>
      <c r="AK183" s="834"/>
      <c r="AL183" s="834"/>
      <c r="AM183" s="834"/>
      <c r="AN183" s="834"/>
      <c r="AO183" s="834"/>
      <c r="AP183" s="834"/>
      <c r="AQ183" s="834"/>
      <c r="AR183" s="834"/>
      <c r="AS183" s="834"/>
      <c r="AT183" s="834"/>
      <c r="AU183" s="834"/>
      <c r="AV183" s="834"/>
      <c r="AW183" s="834"/>
      <c r="AX183" s="834"/>
      <c r="AY183" s="834"/>
      <c r="AZ183" s="834"/>
      <c r="BA183" s="834"/>
      <c r="BB183" s="834"/>
      <c r="BC183" s="834"/>
      <c r="BD183" s="834"/>
      <c r="BE183" s="834"/>
      <c r="BF183" s="834"/>
      <c r="BG183" s="834"/>
      <c r="BH183" s="834"/>
      <c r="BI183" s="834"/>
      <c r="BJ183" s="834"/>
      <c r="BK183" s="834"/>
      <c r="BL183" s="834"/>
      <c r="BM183" s="834"/>
      <c r="BN183" s="834"/>
      <c r="BO183" s="834"/>
      <c r="BP183" s="834"/>
      <c r="BQ183" s="834"/>
      <c r="BR183" s="834"/>
      <c r="BS183" s="834"/>
      <c r="BT183" s="834"/>
      <c r="BU183" s="834"/>
      <c r="BV183" s="834"/>
      <c r="BW183" s="834"/>
      <c r="BX183" s="834"/>
      <c r="BY183" s="834"/>
      <c r="BZ183" s="834"/>
      <c r="CA183" s="834"/>
      <c r="CB183" s="834"/>
      <c r="CC183" s="834"/>
      <c r="CD183" s="834"/>
      <c r="CE183" s="834"/>
      <c r="CF183" s="834"/>
      <c r="CG183" s="834"/>
      <c r="CH183" s="834"/>
      <c r="CI183" s="834"/>
      <c r="CJ183" s="834"/>
      <c r="CK183" s="834"/>
      <c r="CL183" s="834"/>
      <c r="CM183" s="834"/>
      <c r="CN183" s="834"/>
      <c r="CO183" s="834"/>
      <c r="CP183" s="834"/>
      <c r="CQ183" s="834"/>
      <c r="CR183" s="834"/>
      <c r="CS183" s="834"/>
      <c r="CT183" s="834"/>
      <c r="CU183" s="834"/>
      <c r="CV183" s="834"/>
      <c r="CW183" s="834"/>
      <c r="CX183" s="834"/>
      <c r="CY183" s="834"/>
      <c r="CZ183" s="834"/>
      <c r="DA183" s="834"/>
      <c r="DB183" s="834"/>
      <c r="DC183" s="834"/>
      <c r="DD183" s="839"/>
      <c r="DE183" s="1098"/>
      <c r="DF183" s="1098"/>
      <c r="DG183" s="1098"/>
      <c r="DH183" s="1098"/>
      <c r="DI183" s="1098"/>
      <c r="DJ183" s="1098"/>
      <c r="DK183" s="1098"/>
      <c r="DL183" s="1098"/>
      <c r="DM183" s="1098"/>
      <c r="DN183" s="1098"/>
      <c r="DO183" s="1098"/>
    </row>
    <row r="184" spans="25:119" s="1086" customFormat="1">
      <c r="Y184" s="1114"/>
      <c r="Z184" s="848"/>
      <c r="AA184" s="848"/>
      <c r="AB184" s="848"/>
      <c r="AC184" s="848"/>
      <c r="AD184" s="848"/>
      <c r="AE184" s="848"/>
      <c r="AF184" s="848"/>
      <c r="AG184" s="848"/>
      <c r="AH184" s="848"/>
      <c r="AI184" s="848"/>
      <c r="AJ184" s="848"/>
      <c r="AK184" s="848"/>
      <c r="AL184" s="848"/>
      <c r="AM184" s="848"/>
      <c r="AN184" s="848"/>
      <c r="AO184" s="848"/>
      <c r="AP184" s="848"/>
      <c r="AQ184" s="848"/>
      <c r="AR184" s="848"/>
      <c r="AS184" s="848"/>
      <c r="AT184" s="848"/>
      <c r="AU184" s="848"/>
      <c r="AV184" s="848"/>
      <c r="AW184" s="848"/>
      <c r="AX184" s="848"/>
      <c r="AY184" s="848"/>
      <c r="AZ184" s="848"/>
      <c r="BA184" s="848"/>
      <c r="BB184" s="848"/>
      <c r="BC184" s="848"/>
      <c r="BD184" s="848"/>
      <c r="BE184" s="848"/>
      <c r="BF184" s="848"/>
      <c r="BG184" s="848"/>
      <c r="BH184" s="848"/>
      <c r="BI184" s="848"/>
      <c r="BJ184" s="848"/>
      <c r="BK184" s="848"/>
      <c r="BL184" s="848"/>
      <c r="BM184" s="848"/>
      <c r="BN184" s="848"/>
      <c r="BO184" s="848"/>
      <c r="BP184" s="848"/>
      <c r="BQ184" s="848"/>
      <c r="BR184" s="848"/>
      <c r="BS184" s="848"/>
      <c r="BT184" s="848"/>
      <c r="BU184" s="848"/>
      <c r="BV184" s="848"/>
      <c r="BW184" s="848"/>
      <c r="BX184" s="848"/>
      <c r="BY184" s="848"/>
      <c r="BZ184" s="848"/>
      <c r="CA184" s="848"/>
      <c r="CB184" s="848"/>
      <c r="CC184" s="848"/>
      <c r="CD184" s="848"/>
      <c r="CE184" s="848"/>
      <c r="CF184" s="848"/>
      <c r="CG184" s="848"/>
      <c r="CH184" s="848"/>
      <c r="CI184" s="848"/>
      <c r="CJ184" s="848"/>
      <c r="CK184" s="848"/>
      <c r="CL184" s="848"/>
      <c r="CM184" s="848"/>
      <c r="CN184" s="848"/>
      <c r="CO184" s="848"/>
      <c r="CP184" s="848"/>
      <c r="CQ184" s="848"/>
      <c r="CR184" s="848"/>
      <c r="CS184" s="848"/>
      <c r="CT184" s="848"/>
      <c r="CU184" s="848"/>
      <c r="CV184" s="848"/>
      <c r="CW184" s="848"/>
      <c r="CX184" s="848"/>
      <c r="CY184" s="848"/>
      <c r="CZ184" s="848"/>
      <c r="DA184" s="848"/>
      <c r="DB184" s="848"/>
      <c r="DC184" s="848"/>
      <c r="DD184" s="1142"/>
      <c r="DE184" s="1098"/>
      <c r="DF184" s="1098"/>
      <c r="DG184" s="1098"/>
      <c r="DH184" s="1098"/>
      <c r="DI184" s="1098"/>
      <c r="DJ184" s="1098"/>
      <c r="DK184" s="1098"/>
      <c r="DL184" s="1098"/>
      <c r="DM184" s="1098"/>
      <c r="DN184" s="1098"/>
      <c r="DO184" s="1098"/>
    </row>
  </sheetData>
  <mergeCells count="11">
    <mergeCell ref="M45:N45"/>
    <mergeCell ref="C45:D45"/>
    <mergeCell ref="E45:F45"/>
    <mergeCell ref="G45:H45"/>
    <mergeCell ref="I45:J45"/>
    <mergeCell ref="K45:L45"/>
    <mergeCell ref="W45:X45"/>
    <mergeCell ref="O45:P45"/>
    <mergeCell ref="Q45:R45"/>
    <mergeCell ref="S45:T45"/>
    <mergeCell ref="U45:V45"/>
  </mergeCells>
  <hyperlinks>
    <hyperlink ref="N1" location="Content!A1" display="ToC" xr:uid="{8FABE02E-D68B-464D-8C98-284E52661A98}"/>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A934B-A89A-41F6-9FA7-3B2940207D68}">
  <dimension ref="A1:CU161"/>
  <sheetViews>
    <sheetView zoomScale="80" zoomScaleNormal="80" workbookViewId="0">
      <pane xSplit="2" ySplit="6" topLeftCell="C7" activePane="bottomRight" state="frozenSplit"/>
      <selection pane="topRight" activeCell="AC1" sqref="AC1"/>
      <selection pane="bottomLeft" activeCell="A31" sqref="A31"/>
      <selection pane="bottomRight" activeCell="O60" sqref="O60"/>
    </sheetView>
  </sheetViews>
  <sheetFormatPr defaultRowHeight="15"/>
  <cols>
    <col min="2" max="15" width="9.5703125" customWidth="1"/>
    <col min="16" max="16" width="9.5703125" style="1086" customWidth="1"/>
    <col min="17" max="26" width="9.5703125" customWidth="1"/>
    <col min="27" max="27" width="10" customWidth="1"/>
    <col min="28" max="28" width="9.140625" style="952"/>
    <col min="31" max="31" width="8.85546875" customWidth="1"/>
  </cols>
  <sheetData>
    <row r="1" spans="1:96" ht="18.75">
      <c r="A1" s="8" t="s">
        <v>32</v>
      </c>
      <c r="B1" s="9"/>
      <c r="C1" s="9"/>
      <c r="D1" s="9"/>
      <c r="E1" s="9"/>
      <c r="F1" s="9"/>
      <c r="G1" s="9"/>
      <c r="H1" s="9"/>
      <c r="I1" s="9"/>
      <c r="J1" s="9"/>
      <c r="K1" s="9"/>
      <c r="L1" s="9"/>
      <c r="M1" s="9"/>
      <c r="N1" s="9"/>
      <c r="O1" s="9"/>
      <c r="P1" s="9"/>
      <c r="Q1" s="39"/>
      <c r="R1" s="39"/>
      <c r="S1" s="9"/>
      <c r="T1" s="9"/>
      <c r="U1" s="9"/>
      <c r="V1" s="9"/>
      <c r="W1" s="9"/>
      <c r="X1" s="9"/>
      <c r="Y1" s="9"/>
      <c r="Z1" s="9"/>
      <c r="AA1" s="9"/>
      <c r="AB1" s="1119" t="s">
        <v>458</v>
      </c>
      <c r="AC1" s="8"/>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row>
    <row r="2" spans="1:96">
      <c r="A2" s="9" t="s">
        <v>48</v>
      </c>
      <c r="B2" s="9"/>
      <c r="C2" s="9"/>
      <c r="D2" s="9"/>
      <c r="E2" s="9"/>
      <c r="F2" s="9"/>
      <c r="G2" s="9"/>
      <c r="H2" s="9"/>
      <c r="I2" s="9"/>
      <c r="J2" s="9"/>
      <c r="K2" s="9"/>
      <c r="L2" s="9"/>
      <c r="M2" s="9"/>
      <c r="N2" s="9"/>
      <c r="O2" s="9"/>
      <c r="P2" s="9"/>
      <c r="Q2" s="39"/>
      <c r="R2" s="39"/>
      <c r="S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row>
    <row r="3" spans="1:96">
      <c r="A3" s="10" t="s">
        <v>119</v>
      </c>
      <c r="B3" s="9"/>
      <c r="C3" s="9"/>
      <c r="D3" s="9"/>
      <c r="E3" s="9"/>
      <c r="F3" s="9"/>
      <c r="G3" s="9"/>
      <c r="H3" s="9"/>
      <c r="I3" s="9"/>
      <c r="J3" s="9"/>
      <c r="K3" s="9"/>
      <c r="L3" s="9"/>
      <c r="M3" s="9"/>
      <c r="N3" s="9"/>
      <c r="O3" s="9"/>
      <c r="P3" s="9"/>
      <c r="Q3" s="39"/>
      <c r="R3" s="39"/>
      <c r="S3" s="9"/>
      <c r="T3" s="9"/>
      <c r="U3" s="9"/>
      <c r="V3" s="9"/>
      <c r="W3" s="9"/>
      <c r="X3" s="9"/>
      <c r="Y3" s="9"/>
      <c r="Z3" s="9"/>
      <c r="AA3" s="9"/>
      <c r="AB3" s="10"/>
      <c r="AC3" s="10"/>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row>
    <row r="4" spans="1:96">
      <c r="A4" s="10" t="s">
        <v>110</v>
      </c>
      <c r="B4" s="10" t="s">
        <v>109</v>
      </c>
      <c r="C4" s="10" t="s">
        <v>419</v>
      </c>
      <c r="D4" s="9"/>
      <c r="E4" s="9"/>
      <c r="F4" s="9"/>
      <c r="G4" s="9"/>
      <c r="H4" s="9"/>
      <c r="I4" s="9"/>
      <c r="J4" s="9"/>
      <c r="K4" s="9"/>
      <c r="L4" s="9"/>
      <c r="M4" s="9"/>
      <c r="N4" s="9"/>
      <c r="O4" s="9"/>
      <c r="P4" s="9"/>
      <c r="Q4" s="39"/>
      <c r="R4" s="39"/>
      <c r="S4" s="9"/>
      <c r="T4" s="9"/>
      <c r="U4" s="9"/>
      <c r="V4" s="9"/>
      <c r="W4" s="9"/>
      <c r="X4" s="9"/>
      <c r="Y4" s="9"/>
      <c r="Z4" s="9"/>
      <c r="AA4" s="9"/>
      <c r="AB4" s="10"/>
      <c r="AC4" s="10"/>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row>
    <row r="5" spans="1:96" ht="15.75" thickBot="1">
      <c r="A5" s="10"/>
      <c r="B5" s="9"/>
      <c r="C5" s="9"/>
      <c r="D5" s="9"/>
      <c r="E5" s="9"/>
      <c r="F5" s="9"/>
      <c r="G5" s="9"/>
      <c r="H5" s="9"/>
      <c r="I5" s="9"/>
      <c r="J5" s="9"/>
      <c r="K5" s="9"/>
      <c r="L5" s="9"/>
      <c r="M5" s="9"/>
      <c r="N5" s="9"/>
      <c r="O5" s="9"/>
      <c r="P5" s="9"/>
      <c r="Q5" s="39"/>
      <c r="R5" s="39"/>
      <c r="S5" s="9"/>
      <c r="T5" s="9"/>
      <c r="U5" s="9"/>
      <c r="V5" s="9"/>
      <c r="W5" s="9"/>
      <c r="X5" s="9"/>
      <c r="Y5" s="9"/>
      <c r="Z5" s="9"/>
      <c r="AA5" s="9"/>
      <c r="AB5" s="10"/>
      <c r="AC5" s="10"/>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row>
    <row r="6" spans="1:96">
      <c r="A6" s="132" t="s">
        <v>34</v>
      </c>
      <c r="B6" s="132" t="s">
        <v>120</v>
      </c>
      <c r="C6" s="15">
        <v>1997</v>
      </c>
      <c r="D6" s="15">
        <v>1998</v>
      </c>
      <c r="E6" s="15">
        <v>1999</v>
      </c>
      <c r="F6" s="15">
        <v>2000</v>
      </c>
      <c r="G6" s="15">
        <v>2001</v>
      </c>
      <c r="H6" s="15">
        <v>2002</v>
      </c>
      <c r="I6" s="15">
        <v>2003</v>
      </c>
      <c r="J6" s="14">
        <v>2004</v>
      </c>
      <c r="K6" s="16">
        <v>2005</v>
      </c>
      <c r="L6" s="441">
        <v>2006</v>
      </c>
      <c r="M6" s="442">
        <v>2007</v>
      </c>
      <c r="N6" s="442">
        <v>2008</v>
      </c>
      <c r="O6" s="442">
        <v>2009</v>
      </c>
      <c r="P6" s="442">
        <v>2010</v>
      </c>
      <c r="Q6" s="442">
        <v>2011</v>
      </c>
      <c r="R6" s="442">
        <v>2012</v>
      </c>
      <c r="S6" s="442">
        <v>2013</v>
      </c>
      <c r="T6" s="442">
        <v>2014</v>
      </c>
      <c r="U6" s="422">
        <v>2015</v>
      </c>
      <c r="V6" s="15">
        <v>2016</v>
      </c>
      <c r="W6" s="423">
        <v>2017</v>
      </c>
      <c r="X6" s="14">
        <v>2018</v>
      </c>
      <c r="Y6" s="15">
        <v>2019</v>
      </c>
      <c r="Z6" s="15">
        <v>2020</v>
      </c>
      <c r="AA6" s="15">
        <v>2021</v>
      </c>
      <c r="AB6" s="1233">
        <v>2022</v>
      </c>
      <c r="AC6" s="10"/>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row>
    <row r="7" spans="1:96">
      <c r="A7" s="1346" t="s">
        <v>36</v>
      </c>
      <c r="B7" s="24" t="s">
        <v>55</v>
      </c>
      <c r="C7" s="443">
        <v>19430</v>
      </c>
      <c r="D7" s="443">
        <v>18376</v>
      </c>
      <c r="E7" s="443">
        <v>17877</v>
      </c>
      <c r="F7" s="443">
        <v>13536</v>
      </c>
      <c r="G7" s="443">
        <v>18330</v>
      </c>
      <c r="H7" s="64">
        <v>25495</v>
      </c>
      <c r="I7" s="64">
        <v>32091</v>
      </c>
      <c r="J7" s="444">
        <v>31449</v>
      </c>
      <c r="K7" s="65">
        <v>28028</v>
      </c>
      <c r="L7" s="66">
        <v>32487</v>
      </c>
      <c r="M7" s="445">
        <v>28408</v>
      </c>
      <c r="N7" s="445">
        <v>32249</v>
      </c>
      <c r="O7" s="445">
        <v>27843</v>
      </c>
      <c r="P7" s="445">
        <v>30702</v>
      </c>
      <c r="Q7" s="445">
        <v>32582</v>
      </c>
      <c r="R7" s="445">
        <v>32634</v>
      </c>
      <c r="S7" s="445">
        <v>33608</v>
      </c>
      <c r="T7" s="445">
        <v>33042</v>
      </c>
      <c r="U7" s="67">
        <v>36560</v>
      </c>
      <c r="V7" s="64">
        <v>48727</v>
      </c>
      <c r="W7" s="68">
        <v>50680</v>
      </c>
      <c r="X7" s="444">
        <v>57906</v>
      </c>
      <c r="Y7" s="64">
        <v>60570</v>
      </c>
      <c r="Z7" s="64">
        <v>58656</v>
      </c>
      <c r="AA7" s="64">
        <v>47714</v>
      </c>
      <c r="AB7" s="1234">
        <v>36626</v>
      </c>
      <c r="AC7" s="10"/>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row>
    <row r="8" spans="1:96">
      <c r="A8" s="1347"/>
      <c r="B8" s="28" t="s">
        <v>56</v>
      </c>
      <c r="C8" s="69">
        <v>8980</v>
      </c>
      <c r="D8" s="69">
        <v>7702</v>
      </c>
      <c r="E8" s="69">
        <v>7141</v>
      </c>
      <c r="F8" s="69">
        <v>5498</v>
      </c>
      <c r="G8" s="69">
        <v>6580</v>
      </c>
      <c r="H8" s="70">
        <v>8250</v>
      </c>
      <c r="I8" s="70">
        <v>10293</v>
      </c>
      <c r="J8" s="71">
        <v>10440</v>
      </c>
      <c r="K8" s="72">
        <v>9548</v>
      </c>
      <c r="L8" s="74">
        <v>12044</v>
      </c>
      <c r="M8" s="446">
        <v>10650</v>
      </c>
      <c r="N8" s="446">
        <v>10917</v>
      </c>
      <c r="O8" s="446">
        <v>9540</v>
      </c>
      <c r="P8" s="446">
        <v>10580</v>
      </c>
      <c r="Q8" s="446">
        <v>11649</v>
      </c>
      <c r="R8" s="446">
        <v>12852</v>
      </c>
      <c r="S8" s="446">
        <v>12135</v>
      </c>
      <c r="T8" s="446">
        <v>11120</v>
      </c>
      <c r="U8" s="75">
        <v>10585</v>
      </c>
      <c r="V8" s="70">
        <v>15395</v>
      </c>
      <c r="W8" s="73">
        <v>17660</v>
      </c>
      <c r="X8" s="71">
        <v>21343</v>
      </c>
      <c r="Y8" s="70">
        <v>22423</v>
      </c>
      <c r="Z8" s="70">
        <v>20230</v>
      </c>
      <c r="AA8" s="70">
        <v>15395</v>
      </c>
      <c r="AB8" s="1234">
        <v>10932</v>
      </c>
      <c r="AC8" s="10"/>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row>
    <row r="9" spans="1:96">
      <c r="A9" s="1347"/>
      <c r="B9" s="28" t="s">
        <v>57</v>
      </c>
      <c r="C9" s="470">
        <v>120</v>
      </c>
      <c r="D9" s="470">
        <v>137</v>
      </c>
      <c r="E9" s="470">
        <v>178</v>
      </c>
      <c r="F9" s="470">
        <v>164</v>
      </c>
      <c r="G9" s="470">
        <v>171</v>
      </c>
      <c r="H9" s="470">
        <v>250</v>
      </c>
      <c r="I9" s="470">
        <v>250</v>
      </c>
      <c r="J9" s="471">
        <v>459</v>
      </c>
      <c r="K9" s="472">
        <v>486</v>
      </c>
      <c r="L9" s="473">
        <v>787</v>
      </c>
      <c r="M9" s="446">
        <v>858</v>
      </c>
      <c r="N9" s="446">
        <v>1201</v>
      </c>
      <c r="O9" s="446">
        <v>1120</v>
      </c>
      <c r="P9" s="446">
        <v>1392</v>
      </c>
      <c r="Q9" s="446">
        <v>1427</v>
      </c>
      <c r="R9" s="446">
        <v>1788</v>
      </c>
      <c r="S9" s="446">
        <v>1989</v>
      </c>
      <c r="T9" s="446">
        <v>1891</v>
      </c>
      <c r="U9" s="75">
        <v>1987</v>
      </c>
      <c r="V9" s="70">
        <v>3210</v>
      </c>
      <c r="W9" s="73">
        <v>4435</v>
      </c>
      <c r="X9" s="71">
        <v>6262</v>
      </c>
      <c r="Y9" s="70">
        <v>7247</v>
      </c>
      <c r="Z9" s="70">
        <v>7049</v>
      </c>
      <c r="AA9" s="70">
        <v>5806</v>
      </c>
      <c r="AB9" s="1234">
        <v>4383</v>
      </c>
      <c r="AC9" s="10"/>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row>
    <row r="10" spans="1:96">
      <c r="A10" s="1347"/>
      <c r="B10" s="447" t="s">
        <v>58</v>
      </c>
      <c r="C10" s="474">
        <v>3</v>
      </c>
      <c r="D10" s="474">
        <v>7</v>
      </c>
      <c r="E10" s="474">
        <v>7</v>
      </c>
      <c r="F10" s="474">
        <v>11</v>
      </c>
      <c r="G10" s="474">
        <v>10</v>
      </c>
      <c r="H10" s="474">
        <v>26</v>
      </c>
      <c r="I10" s="474">
        <v>25</v>
      </c>
      <c r="J10" s="475">
        <v>69</v>
      </c>
      <c r="K10" s="476">
        <v>82</v>
      </c>
      <c r="L10" s="477">
        <v>113</v>
      </c>
      <c r="M10" s="479">
        <v>138</v>
      </c>
      <c r="N10" s="479">
        <v>277</v>
      </c>
      <c r="O10" s="479">
        <v>351</v>
      </c>
      <c r="P10" s="448">
        <v>433</v>
      </c>
      <c r="Q10" s="448">
        <v>515</v>
      </c>
      <c r="R10" s="448">
        <v>793</v>
      </c>
      <c r="S10" s="448">
        <v>941</v>
      </c>
      <c r="T10" s="448">
        <v>1186</v>
      </c>
      <c r="U10" s="424">
        <v>1407</v>
      </c>
      <c r="V10" s="425">
        <v>2513</v>
      </c>
      <c r="W10" s="426">
        <v>3180</v>
      </c>
      <c r="X10" s="791">
        <v>4831</v>
      </c>
      <c r="Y10" s="425">
        <v>6229</v>
      </c>
      <c r="Z10" s="425">
        <v>6863</v>
      </c>
      <c r="AA10" s="425">
        <v>6864</v>
      </c>
      <c r="AB10" s="1234">
        <v>5846</v>
      </c>
      <c r="AC10" s="10"/>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row>
    <row r="11" spans="1:96">
      <c r="A11" s="1347"/>
      <c r="B11" s="28" t="s">
        <v>59</v>
      </c>
      <c r="C11" s="69">
        <v>9981</v>
      </c>
      <c r="D11" s="69">
        <v>9380</v>
      </c>
      <c r="E11" s="69">
        <v>9156</v>
      </c>
      <c r="F11" s="69">
        <v>7428</v>
      </c>
      <c r="G11" s="69">
        <v>8583</v>
      </c>
      <c r="H11" s="70">
        <v>11842</v>
      </c>
      <c r="I11" s="70">
        <v>15090</v>
      </c>
      <c r="J11" s="71">
        <v>14205</v>
      </c>
      <c r="K11" s="31">
        <v>13007</v>
      </c>
      <c r="L11" s="74">
        <v>14835</v>
      </c>
      <c r="M11" s="446">
        <v>12506</v>
      </c>
      <c r="N11" s="446">
        <v>12733</v>
      </c>
      <c r="O11" s="446">
        <v>11439</v>
      </c>
      <c r="P11" s="446">
        <v>12506</v>
      </c>
      <c r="Q11" s="446">
        <v>13382</v>
      </c>
      <c r="R11" s="446">
        <v>14699</v>
      </c>
      <c r="S11" s="446">
        <v>14880</v>
      </c>
      <c r="T11" s="446">
        <v>14384</v>
      </c>
      <c r="U11" s="75">
        <v>14950</v>
      </c>
      <c r="V11" s="70">
        <v>21939</v>
      </c>
      <c r="W11" s="73">
        <v>24960</v>
      </c>
      <c r="X11" s="71">
        <v>31136</v>
      </c>
      <c r="Y11" s="70">
        <v>34614</v>
      </c>
      <c r="Z11" s="70">
        <v>34162</v>
      </c>
      <c r="AA11" s="70">
        <v>27424</v>
      </c>
      <c r="AB11" s="1234">
        <v>19965</v>
      </c>
      <c r="AC11" s="10"/>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row>
    <row r="12" spans="1:96">
      <c r="A12" s="1347"/>
      <c r="B12" s="40" t="s">
        <v>51</v>
      </c>
      <c r="C12" s="478">
        <v>11113</v>
      </c>
      <c r="D12" s="478">
        <v>10496</v>
      </c>
      <c r="E12" s="478">
        <v>10154</v>
      </c>
      <c r="F12" s="478">
        <v>8314</v>
      </c>
      <c r="G12" s="478">
        <v>9611</v>
      </c>
      <c r="H12" s="478">
        <v>13360</v>
      </c>
      <c r="I12" s="478">
        <v>17330</v>
      </c>
      <c r="J12" s="478">
        <v>16310</v>
      </c>
      <c r="K12" s="478">
        <v>15111</v>
      </c>
      <c r="L12" s="478">
        <v>17346</v>
      </c>
      <c r="M12" s="478">
        <v>14646</v>
      </c>
      <c r="N12" s="478">
        <v>15175</v>
      </c>
      <c r="O12" s="478">
        <v>13592</v>
      </c>
      <c r="P12" s="449">
        <v>2495</v>
      </c>
      <c r="Q12" s="449">
        <v>2557</v>
      </c>
      <c r="R12" s="449">
        <v>2921</v>
      </c>
      <c r="S12" s="449">
        <v>3159</v>
      </c>
      <c r="T12" s="449">
        <v>2990</v>
      </c>
      <c r="U12" s="82">
        <v>2932</v>
      </c>
      <c r="V12" s="81">
        <v>4156</v>
      </c>
      <c r="W12" s="83">
        <v>4720</v>
      </c>
      <c r="X12" s="792">
        <v>6147</v>
      </c>
      <c r="Y12" s="81">
        <v>6701</v>
      </c>
      <c r="Z12" s="81">
        <v>6755</v>
      </c>
      <c r="AA12" s="81">
        <v>5596</v>
      </c>
      <c r="AB12" s="1234">
        <v>4002</v>
      </c>
      <c r="AC12" s="10"/>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row>
    <row r="13" spans="1:96">
      <c r="A13" s="1348"/>
      <c r="B13" s="32" t="s">
        <v>52</v>
      </c>
      <c r="C13" s="76">
        <v>39646</v>
      </c>
      <c r="D13" s="76">
        <v>36718</v>
      </c>
      <c r="E13" s="76">
        <v>35357</v>
      </c>
      <c r="F13" s="76">
        <v>27523</v>
      </c>
      <c r="G13" s="76">
        <v>34702</v>
      </c>
      <c r="H13" s="77">
        <v>47381</v>
      </c>
      <c r="I13" s="77">
        <v>59989</v>
      </c>
      <c r="J13" s="78">
        <v>58727</v>
      </c>
      <c r="K13" s="79">
        <v>53255</v>
      </c>
      <c r="L13" s="450">
        <v>62777</v>
      </c>
      <c r="M13" s="451">
        <v>54700</v>
      </c>
      <c r="N13" s="451">
        <v>59819</v>
      </c>
      <c r="O13" s="451">
        <v>52446</v>
      </c>
      <c r="P13" s="451">
        <v>58108</v>
      </c>
      <c r="Q13" s="451">
        <v>62112</v>
      </c>
      <c r="R13" s="451">
        <v>65687</v>
      </c>
      <c r="S13" s="451">
        <v>66712</v>
      </c>
      <c r="T13" s="451">
        <v>64613</v>
      </c>
      <c r="U13" s="427">
        <v>68421</v>
      </c>
      <c r="V13" s="77">
        <v>95940</v>
      </c>
      <c r="W13" s="80">
        <v>105635</v>
      </c>
      <c r="X13" s="78">
        <v>127625</v>
      </c>
      <c r="Y13" s="77">
        <v>137784</v>
      </c>
      <c r="Z13" s="77">
        <v>133715</v>
      </c>
      <c r="AA13" s="77">
        <f>SUM(AA7:AA12)</f>
        <v>108799</v>
      </c>
      <c r="AB13" s="1235">
        <f>SUM(AB7:AB12)</f>
        <v>81754</v>
      </c>
      <c r="AC13" s="10"/>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row>
    <row r="14" spans="1:96">
      <c r="A14" s="1346" t="s">
        <v>38</v>
      </c>
      <c r="B14" s="24" t="s">
        <v>55</v>
      </c>
      <c r="C14" s="452">
        <v>7422</v>
      </c>
      <c r="D14" s="452">
        <v>6843</v>
      </c>
      <c r="E14" s="452">
        <v>6843</v>
      </c>
      <c r="F14" s="452">
        <v>5229</v>
      </c>
      <c r="G14" s="452">
        <v>5067</v>
      </c>
      <c r="H14" s="429">
        <v>4732</v>
      </c>
      <c r="I14" s="429">
        <v>4729</v>
      </c>
      <c r="J14" s="453">
        <v>4679</v>
      </c>
      <c r="K14" s="454">
        <v>4554</v>
      </c>
      <c r="L14" s="455">
        <v>5741</v>
      </c>
      <c r="M14" s="456">
        <v>8189</v>
      </c>
      <c r="N14" s="456">
        <v>11244</v>
      </c>
      <c r="O14" s="456">
        <v>13177</v>
      </c>
      <c r="P14" s="456">
        <v>15626</v>
      </c>
      <c r="Q14" s="456">
        <v>17292</v>
      </c>
      <c r="R14" s="456">
        <v>20329</v>
      </c>
      <c r="S14" s="456">
        <v>20679</v>
      </c>
      <c r="T14" s="456">
        <v>19917</v>
      </c>
      <c r="U14" s="428">
        <v>16321</v>
      </c>
      <c r="V14" s="429">
        <v>16086</v>
      </c>
      <c r="W14" s="430">
        <v>15584</v>
      </c>
      <c r="X14" s="453">
        <v>14653</v>
      </c>
      <c r="Y14" s="429">
        <v>13485</v>
      </c>
      <c r="Z14" s="429">
        <v>13266</v>
      </c>
      <c r="AA14" s="429">
        <v>14297</v>
      </c>
      <c r="AB14" s="1234">
        <v>14806</v>
      </c>
      <c r="AC14" s="10"/>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row>
    <row r="15" spans="1:96">
      <c r="A15" s="1347"/>
      <c r="B15" s="28" t="s">
        <v>56</v>
      </c>
      <c r="C15" s="452">
        <v>129937</v>
      </c>
      <c r="D15" s="452">
        <v>125704</v>
      </c>
      <c r="E15" s="452">
        <v>125704</v>
      </c>
      <c r="F15" s="452">
        <v>112269</v>
      </c>
      <c r="G15" s="452">
        <v>109375</v>
      </c>
      <c r="H15" s="429">
        <v>108515</v>
      </c>
      <c r="I15" s="429">
        <v>110835</v>
      </c>
      <c r="J15" s="453">
        <v>112527</v>
      </c>
      <c r="K15" s="454">
        <v>111088</v>
      </c>
      <c r="L15" s="455">
        <v>126804</v>
      </c>
      <c r="M15" s="456">
        <v>145040</v>
      </c>
      <c r="N15" s="456">
        <v>151765</v>
      </c>
      <c r="O15" s="456">
        <v>164459</v>
      </c>
      <c r="P15" s="456">
        <v>187237</v>
      </c>
      <c r="Q15" s="456">
        <v>197594</v>
      </c>
      <c r="R15" s="456">
        <v>224917</v>
      </c>
      <c r="S15" s="456">
        <v>225571</v>
      </c>
      <c r="T15" s="456">
        <v>177750</v>
      </c>
      <c r="U15" s="428">
        <v>146749</v>
      </c>
      <c r="V15" s="429">
        <v>160643</v>
      </c>
      <c r="W15" s="430">
        <v>156844</v>
      </c>
      <c r="X15" s="453">
        <v>152440</v>
      </c>
      <c r="Y15" s="429">
        <v>140865</v>
      </c>
      <c r="Z15" s="429">
        <v>140329</v>
      </c>
      <c r="AA15" s="429">
        <v>141853</v>
      </c>
      <c r="AB15" s="1234">
        <v>155117</v>
      </c>
      <c r="AC15" s="10"/>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row>
    <row r="16" spans="1:96">
      <c r="A16" s="1347"/>
      <c r="B16" s="28" t="s">
        <v>57</v>
      </c>
      <c r="C16" s="470">
        <v>942</v>
      </c>
      <c r="D16" s="470">
        <v>1248</v>
      </c>
      <c r="E16" s="470">
        <v>1628</v>
      </c>
      <c r="F16" s="470">
        <v>1156</v>
      </c>
      <c r="G16" s="470">
        <v>729</v>
      </c>
      <c r="H16" s="470">
        <v>136</v>
      </c>
      <c r="I16" s="470">
        <v>897</v>
      </c>
      <c r="J16" s="471">
        <v>1122</v>
      </c>
      <c r="K16" s="472">
        <v>1470</v>
      </c>
      <c r="L16" s="473">
        <v>2002</v>
      </c>
      <c r="M16" s="446">
        <v>2538</v>
      </c>
      <c r="N16" s="446">
        <v>2596</v>
      </c>
      <c r="O16" s="446">
        <v>2777</v>
      </c>
      <c r="P16" s="446">
        <v>3505</v>
      </c>
      <c r="Q16" s="446">
        <v>4048</v>
      </c>
      <c r="R16" s="446">
        <v>5165</v>
      </c>
      <c r="S16" s="446">
        <v>4984</v>
      </c>
      <c r="T16" s="446">
        <v>4336</v>
      </c>
      <c r="U16" s="75">
        <v>3886</v>
      </c>
      <c r="V16" s="70">
        <v>1832</v>
      </c>
      <c r="W16" s="73">
        <v>2415</v>
      </c>
      <c r="X16" s="71">
        <v>4199</v>
      </c>
      <c r="Y16" s="70">
        <v>3938</v>
      </c>
      <c r="Z16" s="70">
        <v>3960</v>
      </c>
      <c r="AA16" s="70">
        <v>4325</v>
      </c>
      <c r="AB16" s="1234">
        <v>5088</v>
      </c>
      <c r="AC16" s="10"/>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row>
    <row r="17" spans="1:96">
      <c r="A17" s="1347"/>
      <c r="B17" s="447" t="s">
        <v>58</v>
      </c>
      <c r="C17" s="474">
        <v>22</v>
      </c>
      <c r="D17" s="474">
        <v>7</v>
      </c>
      <c r="E17" s="474">
        <v>18</v>
      </c>
      <c r="F17" s="474">
        <v>20</v>
      </c>
      <c r="G17" s="474">
        <v>15</v>
      </c>
      <c r="H17" s="474">
        <v>6</v>
      </c>
      <c r="I17" s="474">
        <v>23</v>
      </c>
      <c r="J17" s="475">
        <v>18</v>
      </c>
      <c r="K17" s="476">
        <v>19</v>
      </c>
      <c r="L17" s="477">
        <v>47</v>
      </c>
      <c r="M17" s="479">
        <v>67</v>
      </c>
      <c r="N17" s="479">
        <v>91</v>
      </c>
      <c r="O17" s="479">
        <v>156</v>
      </c>
      <c r="P17" s="448">
        <v>255</v>
      </c>
      <c r="Q17" s="448">
        <v>416</v>
      </c>
      <c r="R17" s="448">
        <v>822</v>
      </c>
      <c r="S17" s="448">
        <v>1243</v>
      </c>
      <c r="T17" s="448">
        <v>1560</v>
      </c>
      <c r="U17" s="424">
        <v>1535</v>
      </c>
      <c r="V17" s="425">
        <v>4292</v>
      </c>
      <c r="W17" s="426">
        <v>4232</v>
      </c>
      <c r="X17" s="791">
        <v>3152</v>
      </c>
      <c r="Y17" s="425">
        <v>3738</v>
      </c>
      <c r="Z17" s="425">
        <v>4331</v>
      </c>
      <c r="AA17" s="425">
        <v>4902</v>
      </c>
      <c r="AB17" s="1234">
        <v>6465</v>
      </c>
      <c r="AC17" s="10"/>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row>
    <row r="18" spans="1:96">
      <c r="A18" s="1347"/>
      <c r="B18" s="28" t="s">
        <v>59</v>
      </c>
      <c r="C18" s="452">
        <v>8646</v>
      </c>
      <c r="D18" s="452">
        <v>7046</v>
      </c>
      <c r="E18" s="452">
        <v>7046</v>
      </c>
      <c r="F18" s="452">
        <v>6007</v>
      </c>
      <c r="G18" s="452">
        <v>6020</v>
      </c>
      <c r="H18" s="429">
        <v>5588</v>
      </c>
      <c r="I18" s="429">
        <v>5476</v>
      </c>
      <c r="J18" s="453">
        <v>5256</v>
      </c>
      <c r="K18" s="454">
        <v>5168</v>
      </c>
      <c r="L18" s="455">
        <v>5993</v>
      </c>
      <c r="M18" s="456">
        <v>8023</v>
      </c>
      <c r="N18" s="456">
        <v>9873</v>
      </c>
      <c r="O18" s="456">
        <v>11033</v>
      </c>
      <c r="P18" s="456">
        <v>13824</v>
      </c>
      <c r="Q18" s="456">
        <v>16262</v>
      </c>
      <c r="R18" s="456">
        <v>20103</v>
      </c>
      <c r="S18" s="456">
        <v>21131</v>
      </c>
      <c r="T18" s="456">
        <v>20229</v>
      </c>
      <c r="U18" s="428">
        <v>17995</v>
      </c>
      <c r="V18" s="429">
        <v>17248</v>
      </c>
      <c r="W18" s="430">
        <v>17451</v>
      </c>
      <c r="X18" s="453">
        <v>17080</v>
      </c>
      <c r="Y18" s="429">
        <v>14789</v>
      </c>
      <c r="Z18" s="429">
        <v>14165</v>
      </c>
      <c r="AA18" s="429">
        <v>15347</v>
      </c>
      <c r="AB18" s="1234">
        <v>16379</v>
      </c>
      <c r="AC18" s="10"/>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row>
    <row r="19" spans="1:96">
      <c r="A19" s="1347"/>
      <c r="B19" s="40" t="s">
        <v>51</v>
      </c>
      <c r="C19" s="478">
        <v>9363</v>
      </c>
      <c r="D19" s="478">
        <v>7646</v>
      </c>
      <c r="E19" s="478">
        <v>7255</v>
      </c>
      <c r="F19" s="478">
        <v>7206</v>
      </c>
      <c r="G19" s="478">
        <v>6556</v>
      </c>
      <c r="H19" s="478">
        <v>6629</v>
      </c>
      <c r="I19" s="478">
        <v>6027</v>
      </c>
      <c r="J19" s="478">
        <v>5846</v>
      </c>
      <c r="K19" s="478">
        <v>5813</v>
      </c>
      <c r="L19" s="478">
        <v>6805</v>
      </c>
      <c r="M19" s="478">
        <v>9120</v>
      </c>
      <c r="N19" s="478">
        <v>11254</v>
      </c>
      <c r="O19" s="478">
        <v>12780</v>
      </c>
      <c r="P19" s="449">
        <v>2246</v>
      </c>
      <c r="Q19" s="449">
        <v>2711</v>
      </c>
      <c r="R19" s="449">
        <v>3455</v>
      </c>
      <c r="S19" s="449">
        <v>3471</v>
      </c>
      <c r="T19" s="449">
        <v>3350</v>
      </c>
      <c r="U19" s="82">
        <v>2872</v>
      </c>
      <c r="V19" s="81">
        <v>2986</v>
      </c>
      <c r="W19" s="83">
        <v>3051</v>
      </c>
      <c r="X19" s="792">
        <v>3001</v>
      </c>
      <c r="Y19" s="81">
        <v>3095</v>
      </c>
      <c r="Z19" s="81">
        <v>3332</v>
      </c>
      <c r="AA19" s="81">
        <v>3648</v>
      </c>
      <c r="AB19" s="1234">
        <v>3565</v>
      </c>
      <c r="AC19" s="10"/>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row>
    <row r="20" spans="1:96">
      <c r="A20" s="1348"/>
      <c r="B20" s="32" t="s">
        <v>52</v>
      </c>
      <c r="C20" s="76">
        <v>147686</v>
      </c>
      <c r="D20" s="76">
        <v>141448</v>
      </c>
      <c r="E20" s="76">
        <v>141448</v>
      </c>
      <c r="F20" s="76">
        <v>125880</v>
      </c>
      <c r="G20" s="76">
        <v>121742</v>
      </c>
      <c r="H20" s="77">
        <v>120018</v>
      </c>
      <c r="I20" s="77">
        <v>122511</v>
      </c>
      <c r="J20" s="78">
        <v>124192</v>
      </c>
      <c r="K20" s="79">
        <v>122944</v>
      </c>
      <c r="L20" s="450">
        <v>141399</v>
      </c>
      <c r="M20" s="451">
        <v>164954</v>
      </c>
      <c r="N20" s="451">
        <v>176950</v>
      </c>
      <c r="O20" s="451">
        <v>193349</v>
      </c>
      <c r="P20" s="451">
        <v>222693</v>
      </c>
      <c r="Q20" s="451">
        <v>238323</v>
      </c>
      <c r="R20" s="451">
        <v>274791</v>
      </c>
      <c r="S20" s="451">
        <v>277079</v>
      </c>
      <c r="T20" s="451">
        <v>227142</v>
      </c>
      <c r="U20" s="427">
        <v>189358</v>
      </c>
      <c r="V20" s="77">
        <v>203087</v>
      </c>
      <c r="W20" s="80">
        <v>199577</v>
      </c>
      <c r="X20" s="78">
        <v>194525</v>
      </c>
      <c r="Y20" s="77">
        <v>179910</v>
      </c>
      <c r="Z20" s="77">
        <v>179383</v>
      </c>
      <c r="AA20" s="77">
        <f>SUM(AA14:AA19)</f>
        <v>184372</v>
      </c>
      <c r="AB20" s="1235">
        <f>SUM(AB14:AB19)</f>
        <v>201420</v>
      </c>
      <c r="AC20" s="10"/>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row>
    <row r="21" spans="1:96">
      <c r="A21" s="1346" t="s">
        <v>42</v>
      </c>
      <c r="B21" s="24" t="s">
        <v>55</v>
      </c>
      <c r="C21" s="460">
        <v>1855</v>
      </c>
      <c r="D21" s="460">
        <v>3180</v>
      </c>
      <c r="E21" s="460">
        <v>3584</v>
      </c>
      <c r="F21" s="460">
        <v>1943</v>
      </c>
      <c r="G21" s="460">
        <v>2396</v>
      </c>
      <c r="H21" s="461">
        <v>2740</v>
      </c>
      <c r="I21" s="461">
        <v>2821</v>
      </c>
      <c r="J21" s="462">
        <v>3140</v>
      </c>
      <c r="K21" s="463">
        <v>4383</v>
      </c>
      <c r="L21" s="464">
        <v>7208</v>
      </c>
      <c r="M21" s="456">
        <v>6746</v>
      </c>
      <c r="N21" s="456">
        <v>4920</v>
      </c>
      <c r="O21" s="456">
        <v>3113</v>
      </c>
      <c r="P21" s="456">
        <v>3533</v>
      </c>
      <c r="Q21" s="456">
        <v>4344</v>
      </c>
      <c r="R21" s="456">
        <v>6272</v>
      </c>
      <c r="S21" s="456">
        <v>7314</v>
      </c>
      <c r="T21" s="456">
        <v>7741</v>
      </c>
      <c r="U21" s="428">
        <v>6432</v>
      </c>
      <c r="V21" s="429">
        <v>6541</v>
      </c>
      <c r="W21" s="430">
        <v>7458</v>
      </c>
      <c r="X21" s="453">
        <v>7467</v>
      </c>
      <c r="Y21" s="429">
        <v>7706</v>
      </c>
      <c r="Z21" s="429">
        <v>7478</v>
      </c>
      <c r="AA21" s="429">
        <v>8342</v>
      </c>
      <c r="AB21" s="1234">
        <v>8606</v>
      </c>
      <c r="AC21" s="10"/>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row>
    <row r="22" spans="1:96">
      <c r="A22" s="1349"/>
      <c r="B22" s="28" t="s">
        <v>56</v>
      </c>
      <c r="C22" s="460">
        <v>5420</v>
      </c>
      <c r="D22" s="460">
        <v>9203</v>
      </c>
      <c r="E22" s="460">
        <v>10230</v>
      </c>
      <c r="F22" s="460">
        <v>6697</v>
      </c>
      <c r="G22" s="460">
        <v>6814</v>
      </c>
      <c r="H22" s="461">
        <v>7868</v>
      </c>
      <c r="I22" s="461">
        <v>7267</v>
      </c>
      <c r="J22" s="462">
        <v>7325</v>
      </c>
      <c r="K22" s="463">
        <v>11000</v>
      </c>
      <c r="L22" s="464">
        <v>16406</v>
      </c>
      <c r="M22" s="456">
        <v>17275</v>
      </c>
      <c r="N22" s="456">
        <v>11312</v>
      </c>
      <c r="O22" s="456">
        <v>7141</v>
      </c>
      <c r="P22" s="456">
        <v>8332</v>
      </c>
      <c r="Q22" s="456">
        <v>11083</v>
      </c>
      <c r="R22" s="456">
        <v>12980</v>
      </c>
      <c r="S22" s="456">
        <v>13514</v>
      </c>
      <c r="T22" s="456">
        <v>13499</v>
      </c>
      <c r="U22" s="428">
        <v>9615</v>
      </c>
      <c r="V22" s="429">
        <v>9962</v>
      </c>
      <c r="W22" s="430">
        <v>11081</v>
      </c>
      <c r="X22" s="453">
        <v>11239</v>
      </c>
      <c r="Y22" s="429">
        <v>11351</v>
      </c>
      <c r="Z22" s="429">
        <v>10819</v>
      </c>
      <c r="AA22" s="429">
        <v>11905</v>
      </c>
      <c r="AB22" s="1234">
        <v>11617</v>
      </c>
      <c r="AC22" s="10"/>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row>
    <row r="23" spans="1:96">
      <c r="A23" s="1349"/>
      <c r="B23" s="28" t="s">
        <v>57</v>
      </c>
      <c r="C23" s="470">
        <v>14497</v>
      </c>
      <c r="D23" s="470">
        <v>35900</v>
      </c>
      <c r="E23" s="470">
        <v>43314</v>
      </c>
      <c r="F23" s="470">
        <v>22943</v>
      </c>
      <c r="G23" s="470">
        <v>21833</v>
      </c>
      <c r="H23" s="470">
        <v>30175</v>
      </c>
      <c r="I23" s="470">
        <v>30525</v>
      </c>
      <c r="J23" s="471">
        <v>35284</v>
      </c>
      <c r="K23" s="472">
        <v>53419</v>
      </c>
      <c r="L23" s="473">
        <v>89303</v>
      </c>
      <c r="M23" s="446">
        <v>91562</v>
      </c>
      <c r="N23" s="446">
        <v>61109</v>
      </c>
      <c r="O23" s="446">
        <v>42129</v>
      </c>
      <c r="P23" s="446">
        <v>51404</v>
      </c>
      <c r="Q23" s="446">
        <v>72258</v>
      </c>
      <c r="R23" s="446">
        <v>84061</v>
      </c>
      <c r="S23" s="446">
        <v>95667</v>
      </c>
      <c r="T23" s="446">
        <v>97294</v>
      </c>
      <c r="U23" s="75">
        <v>76318</v>
      </c>
      <c r="V23" s="70">
        <v>82400</v>
      </c>
      <c r="W23" s="73">
        <v>90847</v>
      </c>
      <c r="X23" s="71">
        <v>89227</v>
      </c>
      <c r="Y23" s="70">
        <v>94852</v>
      </c>
      <c r="Z23" s="70">
        <v>103881</v>
      </c>
      <c r="AA23" s="70">
        <v>110351</v>
      </c>
      <c r="AB23" s="1234">
        <v>99202</v>
      </c>
      <c r="AC23" s="10"/>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row>
    <row r="24" spans="1:96">
      <c r="A24" s="1349"/>
      <c r="B24" s="447" t="s">
        <v>58</v>
      </c>
      <c r="C24" s="474">
        <v>3</v>
      </c>
      <c r="D24" s="474">
        <v>2</v>
      </c>
      <c r="E24" s="474">
        <v>16</v>
      </c>
      <c r="F24" s="474">
        <v>4</v>
      </c>
      <c r="G24" s="474">
        <v>12</v>
      </c>
      <c r="H24" s="474">
        <v>6</v>
      </c>
      <c r="I24" s="474">
        <v>16</v>
      </c>
      <c r="J24" s="475">
        <v>12</v>
      </c>
      <c r="K24" s="476">
        <v>36</v>
      </c>
      <c r="L24" s="477">
        <v>105</v>
      </c>
      <c r="M24" s="479">
        <v>137</v>
      </c>
      <c r="N24" s="479">
        <v>110</v>
      </c>
      <c r="O24" s="479">
        <v>123</v>
      </c>
      <c r="P24" s="448">
        <v>203</v>
      </c>
      <c r="Q24" s="448">
        <v>326</v>
      </c>
      <c r="R24" s="448">
        <v>437</v>
      </c>
      <c r="S24" s="448">
        <v>565</v>
      </c>
      <c r="T24" s="448">
        <v>810</v>
      </c>
      <c r="U24" s="424">
        <v>853</v>
      </c>
      <c r="V24" s="425">
        <v>1102</v>
      </c>
      <c r="W24" s="426">
        <v>1556</v>
      </c>
      <c r="X24" s="791">
        <v>1801</v>
      </c>
      <c r="Y24" s="425">
        <v>2032</v>
      </c>
      <c r="Z24" s="425">
        <v>2041</v>
      </c>
      <c r="AA24" s="425">
        <v>2999</v>
      </c>
      <c r="AB24" s="1234">
        <v>3069</v>
      </c>
      <c r="AC24" s="10"/>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row>
    <row r="25" spans="1:96">
      <c r="A25" s="1349"/>
      <c r="B25" s="28" t="s">
        <v>59</v>
      </c>
      <c r="C25" s="460">
        <v>2630</v>
      </c>
      <c r="D25" s="460">
        <v>4348</v>
      </c>
      <c r="E25" s="460">
        <v>5027</v>
      </c>
      <c r="F25" s="460">
        <v>3145</v>
      </c>
      <c r="G25" s="460">
        <v>3315</v>
      </c>
      <c r="H25" s="461">
        <v>3983</v>
      </c>
      <c r="I25" s="461">
        <v>3248</v>
      </c>
      <c r="J25" s="462">
        <v>2978</v>
      </c>
      <c r="K25" s="463">
        <v>4123</v>
      </c>
      <c r="L25" s="464">
        <v>6784</v>
      </c>
      <c r="M25" s="456">
        <v>6683</v>
      </c>
      <c r="N25" s="456">
        <v>5135</v>
      </c>
      <c r="O25" s="456">
        <v>3674</v>
      </c>
      <c r="P25" s="456">
        <v>4711</v>
      </c>
      <c r="Q25" s="456">
        <v>5874</v>
      </c>
      <c r="R25" s="456">
        <v>8404</v>
      </c>
      <c r="S25" s="456">
        <v>8835</v>
      </c>
      <c r="T25" s="456">
        <v>8804</v>
      </c>
      <c r="U25" s="428">
        <v>7337</v>
      </c>
      <c r="V25" s="429">
        <v>7495</v>
      </c>
      <c r="W25" s="430">
        <v>8096</v>
      </c>
      <c r="X25" s="453">
        <v>7912</v>
      </c>
      <c r="Y25" s="429">
        <v>8171</v>
      </c>
      <c r="Z25" s="429">
        <v>8504</v>
      </c>
      <c r="AA25" s="429">
        <v>10041</v>
      </c>
      <c r="AB25" s="1234">
        <v>10566</v>
      </c>
      <c r="AC25" s="10"/>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row>
    <row r="26" spans="1:96">
      <c r="A26" s="1349"/>
      <c r="B26" s="40" t="s">
        <v>51</v>
      </c>
      <c r="C26" s="478">
        <v>174</v>
      </c>
      <c r="D26" s="478">
        <v>257</v>
      </c>
      <c r="E26" s="478">
        <v>4880</v>
      </c>
      <c r="F26" s="478">
        <v>224</v>
      </c>
      <c r="G26" s="478">
        <v>305</v>
      </c>
      <c r="H26" s="478">
        <v>274</v>
      </c>
      <c r="I26" s="478">
        <v>299</v>
      </c>
      <c r="J26" s="480">
        <v>329</v>
      </c>
      <c r="K26" s="481">
        <v>551</v>
      </c>
      <c r="L26" s="482">
        <v>984</v>
      </c>
      <c r="M26" s="478">
        <v>7985</v>
      </c>
      <c r="N26" s="478">
        <v>6072</v>
      </c>
      <c r="O26" s="478">
        <v>4226</v>
      </c>
      <c r="P26" s="449">
        <v>660</v>
      </c>
      <c r="Q26" s="449">
        <v>835</v>
      </c>
      <c r="R26" s="449">
        <v>1313</v>
      </c>
      <c r="S26" s="449">
        <v>1435</v>
      </c>
      <c r="T26" s="449">
        <v>1638</v>
      </c>
      <c r="U26" s="82">
        <v>1318</v>
      </c>
      <c r="V26" s="81">
        <v>1375</v>
      </c>
      <c r="W26" s="83">
        <v>1624</v>
      </c>
      <c r="X26" s="792">
        <v>1366</v>
      </c>
      <c r="Y26" s="81">
        <v>1549</v>
      </c>
      <c r="Z26" s="81">
        <v>2043</v>
      </c>
      <c r="AA26" s="81">
        <v>2244</v>
      </c>
      <c r="AB26" s="1234">
        <v>2120</v>
      </c>
      <c r="AC26" s="10"/>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row>
    <row r="27" spans="1:96">
      <c r="A27" s="1350"/>
      <c r="B27" s="32" t="s">
        <v>52</v>
      </c>
      <c r="C27" s="465">
        <v>24579</v>
      </c>
      <c r="D27" s="465">
        <v>52890</v>
      </c>
      <c r="E27" s="465">
        <v>67051</v>
      </c>
      <c r="F27" s="465">
        <v>34956</v>
      </c>
      <c r="G27" s="465">
        <v>34675</v>
      </c>
      <c r="H27" s="466">
        <v>45046</v>
      </c>
      <c r="I27" s="466">
        <v>44176</v>
      </c>
      <c r="J27" s="467">
        <v>49068</v>
      </c>
      <c r="K27" s="468">
        <v>73512</v>
      </c>
      <c r="L27" s="469">
        <v>120790</v>
      </c>
      <c r="M27" s="451">
        <v>123705</v>
      </c>
      <c r="N27" s="451">
        <v>83523</v>
      </c>
      <c r="O27" s="451">
        <v>56732</v>
      </c>
      <c r="P27" s="451">
        <v>68843</v>
      </c>
      <c r="Q27" s="451">
        <v>94720</v>
      </c>
      <c r="R27" s="451">
        <v>113467</v>
      </c>
      <c r="S27" s="451">
        <v>127330</v>
      </c>
      <c r="T27" s="451">
        <v>129786</v>
      </c>
      <c r="U27" s="427">
        <v>101873</v>
      </c>
      <c r="V27" s="77">
        <v>108875</v>
      </c>
      <c r="W27" s="80">
        <v>120662</v>
      </c>
      <c r="X27" s="78">
        <v>119012</v>
      </c>
      <c r="Y27" s="77">
        <v>125661</v>
      </c>
      <c r="Z27" s="77">
        <v>134766</v>
      </c>
      <c r="AA27" s="77">
        <f>SUM(AA21:AA26)</f>
        <v>145882</v>
      </c>
      <c r="AB27" s="1235">
        <f>SUM(AB21:AB26)</f>
        <v>135180</v>
      </c>
      <c r="AC27" s="10"/>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row>
    <row r="28" spans="1:96">
      <c r="A28" s="1346" t="s">
        <v>43</v>
      </c>
      <c r="B28" s="24" t="s">
        <v>55</v>
      </c>
      <c r="C28" s="483">
        <v>693</v>
      </c>
      <c r="D28" s="483">
        <v>1103</v>
      </c>
      <c r="E28" s="483">
        <v>1535</v>
      </c>
      <c r="F28" s="483">
        <v>2347</v>
      </c>
      <c r="G28" s="483">
        <v>3720</v>
      </c>
      <c r="H28" s="483">
        <v>4465</v>
      </c>
      <c r="I28" s="483">
        <v>7909</v>
      </c>
      <c r="J28" s="484">
        <v>8949</v>
      </c>
      <c r="K28" s="485">
        <v>9035</v>
      </c>
      <c r="L28" s="486">
        <v>8084</v>
      </c>
      <c r="M28" s="487">
        <v>8755</v>
      </c>
      <c r="N28" s="487">
        <v>10522</v>
      </c>
      <c r="O28" s="487">
        <v>14980</v>
      </c>
      <c r="P28" s="456">
        <v>13628</v>
      </c>
      <c r="Q28" s="456">
        <v>15414</v>
      </c>
      <c r="R28" s="456">
        <v>19958</v>
      </c>
      <c r="S28" s="456">
        <v>18319</v>
      </c>
      <c r="T28" s="456">
        <v>19525</v>
      </c>
      <c r="U28" s="428">
        <v>26726</v>
      </c>
      <c r="V28" s="429">
        <v>30301</v>
      </c>
      <c r="W28" s="430">
        <v>27091</v>
      </c>
      <c r="X28" s="453">
        <v>22978</v>
      </c>
      <c r="Y28" s="429">
        <v>24717</v>
      </c>
      <c r="Z28" s="429">
        <v>24144</v>
      </c>
      <c r="AA28" s="429">
        <v>30248</v>
      </c>
      <c r="AB28" s="1234">
        <v>28384</v>
      </c>
      <c r="AC28" s="10"/>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row>
    <row r="29" spans="1:96">
      <c r="A29" s="1347"/>
      <c r="B29" s="28" t="s">
        <v>56</v>
      </c>
      <c r="C29" s="483">
        <v>594</v>
      </c>
      <c r="D29" s="483">
        <v>927</v>
      </c>
      <c r="E29" s="483">
        <v>1465</v>
      </c>
      <c r="F29" s="483">
        <v>2343</v>
      </c>
      <c r="G29" s="483">
        <v>3852</v>
      </c>
      <c r="H29" s="483">
        <v>5871</v>
      </c>
      <c r="I29" s="483">
        <v>9369</v>
      </c>
      <c r="J29" s="484">
        <v>12490</v>
      </c>
      <c r="K29" s="485">
        <v>13883</v>
      </c>
      <c r="L29" s="486">
        <v>15099</v>
      </c>
      <c r="M29" s="487">
        <v>16174</v>
      </c>
      <c r="N29" s="487">
        <v>21999</v>
      </c>
      <c r="O29" s="487">
        <v>27897</v>
      </c>
      <c r="P29" s="456">
        <v>23890</v>
      </c>
      <c r="Q29" s="456">
        <v>25387</v>
      </c>
      <c r="R29" s="456">
        <v>28847</v>
      </c>
      <c r="S29" s="456">
        <v>22609</v>
      </c>
      <c r="T29" s="456">
        <v>26501</v>
      </c>
      <c r="U29" s="428">
        <v>36418</v>
      </c>
      <c r="V29" s="429">
        <v>34967</v>
      </c>
      <c r="W29" s="430">
        <v>31090</v>
      </c>
      <c r="X29" s="453">
        <v>28094</v>
      </c>
      <c r="Y29" s="429">
        <v>30401</v>
      </c>
      <c r="Z29" s="429">
        <v>28955</v>
      </c>
      <c r="AA29" s="429">
        <v>34853</v>
      </c>
      <c r="AB29" s="1234">
        <v>33301</v>
      </c>
      <c r="AC29" s="10"/>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row>
    <row r="30" spans="1:96">
      <c r="A30" s="1347"/>
      <c r="B30" s="28" t="s">
        <v>57</v>
      </c>
      <c r="C30" s="470">
        <v>61</v>
      </c>
      <c r="D30" s="470">
        <v>149</v>
      </c>
      <c r="E30" s="470">
        <v>237</v>
      </c>
      <c r="F30" s="470">
        <v>396</v>
      </c>
      <c r="G30" s="470">
        <v>708</v>
      </c>
      <c r="H30" s="470">
        <v>1200</v>
      </c>
      <c r="I30" s="470">
        <v>2017</v>
      </c>
      <c r="J30" s="471">
        <v>2248</v>
      </c>
      <c r="K30" s="472">
        <v>2509</v>
      </c>
      <c r="L30" s="473">
        <v>2752</v>
      </c>
      <c r="M30" s="488">
        <v>3127</v>
      </c>
      <c r="N30" s="488">
        <v>4675</v>
      </c>
      <c r="O30" s="488">
        <v>6476</v>
      </c>
      <c r="P30" s="446">
        <v>5168</v>
      </c>
      <c r="Q30" s="446">
        <v>4882</v>
      </c>
      <c r="R30" s="446">
        <v>5320</v>
      </c>
      <c r="S30" s="446">
        <v>4271</v>
      </c>
      <c r="T30" s="446">
        <v>4627</v>
      </c>
      <c r="U30" s="75">
        <v>6262</v>
      </c>
      <c r="V30" s="70">
        <v>7410</v>
      </c>
      <c r="W30" s="73">
        <v>7857</v>
      </c>
      <c r="X30" s="71">
        <v>8623</v>
      </c>
      <c r="Y30" s="70">
        <v>9437</v>
      </c>
      <c r="Z30" s="70">
        <v>9311</v>
      </c>
      <c r="AA30" s="70">
        <v>11086</v>
      </c>
      <c r="AB30" s="1234">
        <v>10464</v>
      </c>
      <c r="AC30" s="10"/>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row>
    <row r="31" spans="1:96">
      <c r="A31" s="1347"/>
      <c r="B31" s="447" t="s">
        <v>58</v>
      </c>
      <c r="C31" s="474">
        <v>1532</v>
      </c>
      <c r="D31" s="474">
        <v>1653</v>
      </c>
      <c r="E31" s="474">
        <v>3097</v>
      </c>
      <c r="F31" s="474">
        <v>6177</v>
      </c>
      <c r="G31" s="474">
        <v>5395</v>
      </c>
      <c r="H31" s="474">
        <v>5868</v>
      </c>
      <c r="I31" s="474">
        <v>11404</v>
      </c>
      <c r="J31" s="475">
        <v>18241</v>
      </c>
      <c r="K31" s="476">
        <v>20705</v>
      </c>
      <c r="L31" s="477">
        <v>25077</v>
      </c>
      <c r="M31" s="479">
        <v>31945</v>
      </c>
      <c r="N31" s="479">
        <v>46590</v>
      </c>
      <c r="O31" s="479">
        <v>65391</v>
      </c>
      <c r="P31" s="448">
        <v>79767</v>
      </c>
      <c r="Q31" s="448">
        <v>112347</v>
      </c>
      <c r="R31" s="448">
        <v>143847</v>
      </c>
      <c r="S31" s="448">
        <v>143535</v>
      </c>
      <c r="T31" s="448">
        <v>162680</v>
      </c>
      <c r="U31" s="424">
        <v>263436</v>
      </c>
      <c r="V31" s="425">
        <v>302136</v>
      </c>
      <c r="W31" s="426">
        <v>326970</v>
      </c>
      <c r="X31" s="791">
        <v>345959</v>
      </c>
      <c r="Y31" s="425">
        <v>360919</v>
      </c>
      <c r="Z31" s="425">
        <v>440691</v>
      </c>
      <c r="AA31" s="425">
        <v>585910</v>
      </c>
      <c r="AB31" s="1234">
        <v>695591</v>
      </c>
      <c r="AC31" s="10"/>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row>
    <row r="32" spans="1:96">
      <c r="A32" s="1347"/>
      <c r="B32" s="28" t="s">
        <v>59</v>
      </c>
      <c r="C32" s="483">
        <v>535</v>
      </c>
      <c r="D32" s="483">
        <v>785</v>
      </c>
      <c r="E32" s="483">
        <v>1127</v>
      </c>
      <c r="F32" s="483">
        <v>1550</v>
      </c>
      <c r="G32" s="483">
        <v>2285</v>
      </c>
      <c r="H32" s="483">
        <v>3414</v>
      </c>
      <c r="I32" s="483">
        <v>5733</v>
      </c>
      <c r="J32" s="484">
        <v>6538</v>
      </c>
      <c r="K32" s="485">
        <v>6160</v>
      </c>
      <c r="L32" s="486">
        <v>5870</v>
      </c>
      <c r="M32" s="487">
        <v>6891</v>
      </c>
      <c r="N32" s="487">
        <v>8661</v>
      </c>
      <c r="O32" s="487">
        <v>12158</v>
      </c>
      <c r="P32" s="456">
        <v>10985</v>
      </c>
      <c r="Q32" s="456">
        <v>12334</v>
      </c>
      <c r="R32" s="456">
        <v>16776</v>
      </c>
      <c r="S32" s="456">
        <v>16674</v>
      </c>
      <c r="T32" s="456">
        <v>17401</v>
      </c>
      <c r="U32" s="428">
        <v>23157</v>
      </c>
      <c r="V32" s="429">
        <v>25637</v>
      </c>
      <c r="W32" s="430">
        <v>23673</v>
      </c>
      <c r="X32" s="453">
        <v>22915</v>
      </c>
      <c r="Y32" s="429">
        <v>23114</v>
      </c>
      <c r="Z32" s="429">
        <v>21084</v>
      </c>
      <c r="AA32" s="429">
        <v>27843</v>
      </c>
      <c r="AB32" s="1234">
        <v>25497</v>
      </c>
      <c r="AC32" s="10"/>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row>
    <row r="33" spans="1:97">
      <c r="A33" s="1347"/>
      <c r="B33" s="40" t="s">
        <v>51</v>
      </c>
      <c r="C33" s="478">
        <v>79</v>
      </c>
      <c r="D33" s="478">
        <v>118</v>
      </c>
      <c r="E33" s="478">
        <v>176</v>
      </c>
      <c r="F33" s="478">
        <v>245</v>
      </c>
      <c r="G33" s="478">
        <v>336</v>
      </c>
      <c r="H33" s="478">
        <v>439</v>
      </c>
      <c r="I33" s="478">
        <v>717</v>
      </c>
      <c r="J33" s="480">
        <v>894</v>
      </c>
      <c r="K33" s="481">
        <v>1013</v>
      </c>
      <c r="L33" s="482">
        <v>904</v>
      </c>
      <c r="M33" s="489">
        <v>1056</v>
      </c>
      <c r="N33" s="489">
        <v>1259</v>
      </c>
      <c r="O33" s="489">
        <v>1487</v>
      </c>
      <c r="P33" s="449">
        <v>1672</v>
      </c>
      <c r="Q33" s="449">
        <v>1749</v>
      </c>
      <c r="R33" s="449">
        <v>2357</v>
      </c>
      <c r="S33" s="449">
        <v>2280</v>
      </c>
      <c r="T33" s="449">
        <v>2494</v>
      </c>
      <c r="U33" s="82">
        <v>3317</v>
      </c>
      <c r="V33" s="81">
        <v>3757</v>
      </c>
      <c r="W33" s="83">
        <v>3463</v>
      </c>
      <c r="X33" s="792">
        <v>3578</v>
      </c>
      <c r="Y33" s="81">
        <v>4216</v>
      </c>
      <c r="Z33" s="81">
        <v>5942</v>
      </c>
      <c r="AA33" s="81">
        <v>6006</v>
      </c>
      <c r="AB33" s="1234">
        <v>5110</v>
      </c>
      <c r="AC33" s="10"/>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row>
    <row r="34" spans="1:97">
      <c r="A34" s="1348"/>
      <c r="B34" s="32" t="s">
        <v>52</v>
      </c>
      <c r="C34" s="490">
        <v>3494</v>
      </c>
      <c r="D34" s="490">
        <v>4735</v>
      </c>
      <c r="E34" s="490">
        <v>7637</v>
      </c>
      <c r="F34" s="490">
        <v>13058</v>
      </c>
      <c r="G34" s="490">
        <v>16296</v>
      </c>
      <c r="H34" s="490">
        <v>21257</v>
      </c>
      <c r="I34" s="490">
        <v>37149</v>
      </c>
      <c r="J34" s="491">
        <v>49360</v>
      </c>
      <c r="K34" s="492">
        <v>53305</v>
      </c>
      <c r="L34" s="493">
        <v>57786</v>
      </c>
      <c r="M34" s="494">
        <v>67948</v>
      </c>
      <c r="N34" s="494">
        <v>93706</v>
      </c>
      <c r="O34" s="494">
        <v>128389</v>
      </c>
      <c r="P34" s="451">
        <v>135110</v>
      </c>
      <c r="Q34" s="451">
        <v>172113</v>
      </c>
      <c r="R34" s="451">
        <v>217105</v>
      </c>
      <c r="S34" s="451">
        <v>207688</v>
      </c>
      <c r="T34" s="451">
        <v>233228</v>
      </c>
      <c r="U34" s="427">
        <v>359316</v>
      </c>
      <c r="V34" s="77">
        <v>404208</v>
      </c>
      <c r="W34" s="80">
        <v>420144</v>
      </c>
      <c r="X34" s="78">
        <v>432147</v>
      </c>
      <c r="Y34" s="77">
        <v>452804</v>
      </c>
      <c r="Z34" s="77">
        <f>SUM(Z28:Z33)</f>
        <v>530127</v>
      </c>
      <c r="AA34" s="77">
        <f>SUM(AA28:AA33)</f>
        <v>695946</v>
      </c>
      <c r="AB34" s="1235">
        <f>SUM(AB28:AB33)</f>
        <v>798347</v>
      </c>
      <c r="AC34" s="10"/>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row>
    <row r="35" spans="1:97">
      <c r="A35" s="1346" t="s">
        <v>44</v>
      </c>
      <c r="B35" s="24" t="s">
        <v>55</v>
      </c>
      <c r="C35" s="452">
        <v>18635</v>
      </c>
      <c r="D35" s="452">
        <v>25693</v>
      </c>
      <c r="E35" s="452">
        <v>25693</v>
      </c>
      <c r="F35" s="452">
        <v>26324</v>
      </c>
      <c r="G35" s="452">
        <v>28459</v>
      </c>
      <c r="H35" s="429">
        <v>28428</v>
      </c>
      <c r="I35" s="429">
        <v>28209</v>
      </c>
      <c r="J35" s="453">
        <v>26246</v>
      </c>
      <c r="K35" s="454">
        <v>22182</v>
      </c>
      <c r="L35" s="455">
        <v>25636</v>
      </c>
      <c r="M35" s="456">
        <v>23884</v>
      </c>
      <c r="N35" s="456">
        <v>24007</v>
      </c>
      <c r="O35" s="456">
        <v>23677</v>
      </c>
      <c r="P35" s="456">
        <v>32473</v>
      </c>
      <c r="Q35" s="456">
        <v>32774</v>
      </c>
      <c r="R35" s="456">
        <v>38198</v>
      </c>
      <c r="S35" s="456">
        <v>43450</v>
      </c>
      <c r="T35" s="456">
        <v>47733</v>
      </c>
      <c r="U35" s="428">
        <v>47529</v>
      </c>
      <c r="V35" s="429">
        <v>47910</v>
      </c>
      <c r="W35" s="430">
        <v>50660</v>
      </c>
      <c r="X35" s="453">
        <v>48963</v>
      </c>
      <c r="Y35" s="429">
        <v>55638</v>
      </c>
      <c r="Z35" s="429">
        <v>54377</v>
      </c>
      <c r="AA35" s="429">
        <v>50603</v>
      </c>
      <c r="AB35" s="1234">
        <v>49862</v>
      </c>
      <c r="AC35" s="10"/>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row>
    <row r="36" spans="1:97">
      <c r="A36" s="1347"/>
      <c r="B36" s="28" t="s">
        <v>56</v>
      </c>
      <c r="C36" s="452">
        <v>23179</v>
      </c>
      <c r="D36" s="452">
        <v>30841</v>
      </c>
      <c r="E36" s="452">
        <v>30841</v>
      </c>
      <c r="F36" s="452">
        <v>31296</v>
      </c>
      <c r="G36" s="452">
        <v>33224</v>
      </c>
      <c r="H36" s="429">
        <v>34859</v>
      </c>
      <c r="I36" s="429">
        <v>35516</v>
      </c>
      <c r="J36" s="453">
        <v>35350</v>
      </c>
      <c r="K36" s="454">
        <v>30341</v>
      </c>
      <c r="L36" s="455">
        <v>36807</v>
      </c>
      <c r="M36" s="456">
        <v>33525</v>
      </c>
      <c r="N36" s="456">
        <v>33912</v>
      </c>
      <c r="O36" s="456">
        <v>35501</v>
      </c>
      <c r="P36" s="456">
        <v>44814</v>
      </c>
      <c r="Q36" s="456">
        <v>46139</v>
      </c>
      <c r="R36" s="456">
        <v>50677</v>
      </c>
      <c r="S36" s="456">
        <v>51919</v>
      </c>
      <c r="T36" s="456">
        <v>53848</v>
      </c>
      <c r="U36" s="428">
        <v>52409</v>
      </c>
      <c r="V36" s="429">
        <v>49800</v>
      </c>
      <c r="W36" s="430">
        <v>49677</v>
      </c>
      <c r="X36" s="453">
        <v>47566</v>
      </c>
      <c r="Y36" s="429">
        <v>53542</v>
      </c>
      <c r="Z36" s="429">
        <v>51619</v>
      </c>
      <c r="AA36" s="429">
        <v>46472</v>
      </c>
      <c r="AB36" s="1234">
        <v>45656</v>
      </c>
      <c r="AC36" s="10"/>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row>
    <row r="37" spans="1:97">
      <c r="A37" s="1347"/>
      <c r="B37" s="28" t="s">
        <v>57</v>
      </c>
      <c r="C37" s="470">
        <v>1891</v>
      </c>
      <c r="D37" s="470">
        <v>3259</v>
      </c>
      <c r="E37" s="470">
        <v>3562</v>
      </c>
      <c r="F37" s="470">
        <v>3314</v>
      </c>
      <c r="G37" s="470">
        <v>3538</v>
      </c>
      <c r="H37" s="470">
        <v>3786</v>
      </c>
      <c r="I37" s="470">
        <v>3944</v>
      </c>
      <c r="J37" s="471">
        <v>4428</v>
      </c>
      <c r="K37" s="472">
        <v>4352</v>
      </c>
      <c r="L37" s="473">
        <v>5908</v>
      </c>
      <c r="M37" s="446">
        <v>6307</v>
      </c>
      <c r="N37" s="446">
        <v>7572</v>
      </c>
      <c r="O37" s="446">
        <v>8762</v>
      </c>
      <c r="P37" s="446">
        <v>11671</v>
      </c>
      <c r="Q37" s="446">
        <v>12262</v>
      </c>
      <c r="R37" s="446">
        <v>13233</v>
      </c>
      <c r="S37" s="446">
        <v>14548</v>
      </c>
      <c r="T37" s="446">
        <v>16469</v>
      </c>
      <c r="U37" s="75">
        <v>17924</v>
      </c>
      <c r="V37" s="70">
        <v>19494</v>
      </c>
      <c r="W37" s="73">
        <v>20717</v>
      </c>
      <c r="X37" s="71">
        <v>19780</v>
      </c>
      <c r="Y37" s="70">
        <v>21684</v>
      </c>
      <c r="Z37" s="70">
        <v>21977</v>
      </c>
      <c r="AA37" s="70">
        <v>20764</v>
      </c>
      <c r="AB37" s="1234">
        <v>22031</v>
      </c>
      <c r="AC37" s="10"/>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row>
    <row r="38" spans="1:97">
      <c r="A38" s="1347"/>
      <c r="B38" s="447" t="s">
        <v>58</v>
      </c>
      <c r="C38" s="474">
        <v>62</v>
      </c>
      <c r="D38" s="474">
        <v>72</v>
      </c>
      <c r="E38" s="474">
        <v>90</v>
      </c>
      <c r="F38" s="474">
        <v>119</v>
      </c>
      <c r="G38" s="474">
        <v>195</v>
      </c>
      <c r="H38" s="474">
        <v>289</v>
      </c>
      <c r="I38" s="474">
        <v>297</v>
      </c>
      <c r="J38" s="475">
        <v>404</v>
      </c>
      <c r="K38" s="476">
        <v>402</v>
      </c>
      <c r="L38" s="477">
        <v>661</v>
      </c>
      <c r="M38" s="479">
        <v>772</v>
      </c>
      <c r="N38" s="479">
        <v>1225</v>
      </c>
      <c r="O38" s="479">
        <v>1655</v>
      </c>
      <c r="P38" s="448">
        <v>2657</v>
      </c>
      <c r="Q38" s="448">
        <v>3174</v>
      </c>
      <c r="R38" s="448">
        <v>4637</v>
      </c>
      <c r="S38" s="448">
        <v>5928</v>
      </c>
      <c r="T38" s="448">
        <v>7236</v>
      </c>
      <c r="U38" s="424">
        <v>8116</v>
      </c>
      <c r="V38" s="425">
        <v>10462</v>
      </c>
      <c r="W38" s="426">
        <v>13243</v>
      </c>
      <c r="X38" s="791">
        <v>14488</v>
      </c>
      <c r="Y38" s="425">
        <v>19209</v>
      </c>
      <c r="Z38" s="425">
        <v>21428</v>
      </c>
      <c r="AA38" s="425">
        <v>23745</v>
      </c>
      <c r="AB38" s="1234">
        <v>27100</v>
      </c>
      <c r="AC38" s="10"/>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row>
    <row r="39" spans="1:97">
      <c r="A39" s="1347"/>
      <c r="B39" s="28" t="s">
        <v>59</v>
      </c>
      <c r="C39" s="452">
        <v>61707</v>
      </c>
      <c r="D39" s="452">
        <v>80292</v>
      </c>
      <c r="E39" s="452">
        <v>80292</v>
      </c>
      <c r="F39" s="452">
        <v>85072</v>
      </c>
      <c r="G39" s="452">
        <v>87610</v>
      </c>
      <c r="H39" s="429">
        <v>86980</v>
      </c>
      <c r="I39" s="429">
        <v>87901</v>
      </c>
      <c r="J39" s="453">
        <v>84271</v>
      </c>
      <c r="K39" s="454">
        <v>74637</v>
      </c>
      <c r="L39" s="455">
        <v>89823</v>
      </c>
      <c r="M39" s="456">
        <v>80171</v>
      </c>
      <c r="N39" s="456">
        <v>78267</v>
      </c>
      <c r="O39" s="456">
        <v>82382</v>
      </c>
      <c r="P39" s="456">
        <v>107792</v>
      </c>
      <c r="Q39" s="456">
        <v>108626</v>
      </c>
      <c r="R39" s="456">
        <v>121026</v>
      </c>
      <c r="S39" s="456">
        <v>133593</v>
      </c>
      <c r="T39" s="456">
        <v>144621</v>
      </c>
      <c r="U39" s="428">
        <v>140969</v>
      </c>
      <c r="V39" s="429">
        <v>143723</v>
      </c>
      <c r="W39" s="430">
        <v>150949</v>
      </c>
      <c r="X39" s="453">
        <v>144413</v>
      </c>
      <c r="Y39" s="429">
        <v>167115</v>
      </c>
      <c r="Z39" s="429">
        <v>164555</v>
      </c>
      <c r="AA39" s="429">
        <v>149700</v>
      </c>
      <c r="AB39" s="1234">
        <v>141938</v>
      </c>
      <c r="AC39" s="10"/>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row>
    <row r="40" spans="1:97">
      <c r="A40" s="1347"/>
      <c r="B40" s="40" t="s">
        <v>51</v>
      </c>
      <c r="C40" s="478">
        <v>68217</v>
      </c>
      <c r="D40" s="478">
        <v>87655</v>
      </c>
      <c r="E40" s="478">
        <v>87334</v>
      </c>
      <c r="F40" s="478">
        <v>96444</v>
      </c>
      <c r="G40" s="478">
        <v>100629</v>
      </c>
      <c r="H40" s="478">
        <v>99972</v>
      </c>
      <c r="I40" s="478">
        <v>101060</v>
      </c>
      <c r="J40" s="478">
        <v>97865</v>
      </c>
      <c r="K40" s="478">
        <v>86529</v>
      </c>
      <c r="L40" s="478">
        <v>104760</v>
      </c>
      <c r="M40" s="478">
        <v>94350</v>
      </c>
      <c r="N40" s="478">
        <v>92943</v>
      </c>
      <c r="O40" s="478">
        <v>97754</v>
      </c>
      <c r="P40" s="449">
        <v>20207</v>
      </c>
      <c r="Q40" s="449">
        <v>21530</v>
      </c>
      <c r="R40" s="449">
        <v>25384</v>
      </c>
      <c r="S40" s="449">
        <v>28397</v>
      </c>
      <c r="T40" s="449">
        <v>30770</v>
      </c>
      <c r="U40" s="82">
        <v>31460</v>
      </c>
      <c r="V40" s="81">
        <v>31660</v>
      </c>
      <c r="W40" s="83">
        <v>33583</v>
      </c>
      <c r="X40" s="792">
        <v>32549</v>
      </c>
      <c r="Y40" s="81">
        <v>37242</v>
      </c>
      <c r="Z40" s="81">
        <v>38037</v>
      </c>
      <c r="AA40" s="81">
        <v>36491</v>
      </c>
      <c r="AB40" s="1234">
        <v>36831</v>
      </c>
      <c r="AC40" s="10"/>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row>
    <row r="41" spans="1:97" ht="15.75" thickBot="1">
      <c r="A41" s="1351"/>
      <c r="B41" s="50" t="s">
        <v>52</v>
      </c>
      <c r="C41" s="87">
        <v>111984</v>
      </c>
      <c r="D41" s="87">
        <v>147520</v>
      </c>
      <c r="E41" s="87">
        <v>147520</v>
      </c>
      <c r="F41" s="87">
        <v>157497</v>
      </c>
      <c r="G41" s="87">
        <v>166045</v>
      </c>
      <c r="H41" s="88">
        <v>167334</v>
      </c>
      <c r="I41" s="88">
        <v>169026</v>
      </c>
      <c r="J41" s="89">
        <v>164293</v>
      </c>
      <c r="K41" s="90">
        <v>143806</v>
      </c>
      <c r="L41" s="457">
        <v>173772</v>
      </c>
      <c r="M41" s="458">
        <v>158838</v>
      </c>
      <c r="N41" s="458">
        <v>159659</v>
      </c>
      <c r="O41" s="458">
        <v>167349</v>
      </c>
      <c r="P41" s="458">
        <v>219614</v>
      </c>
      <c r="Q41" s="459">
        <v>224505</v>
      </c>
      <c r="R41" s="459">
        <v>253155</v>
      </c>
      <c r="S41" s="459">
        <v>277835</v>
      </c>
      <c r="T41" s="459">
        <v>300677</v>
      </c>
      <c r="U41" s="431">
        <v>298407</v>
      </c>
      <c r="V41" s="432">
        <v>303049</v>
      </c>
      <c r="W41" s="433">
        <v>318829</v>
      </c>
      <c r="X41" s="793">
        <v>307759</v>
      </c>
      <c r="Y41" s="432">
        <v>354430</v>
      </c>
      <c r="Z41" s="432">
        <f>SUM(Z35:Z40)</f>
        <v>351993</v>
      </c>
      <c r="AA41" s="1120">
        <f>SUM(AA35:AA40)</f>
        <v>327775</v>
      </c>
      <c r="AB41" s="1236">
        <f>SUM(AB35:AB40)</f>
        <v>323418</v>
      </c>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row>
    <row r="42" spans="1:97">
      <c r="A42" s="9"/>
      <c r="B42" s="9"/>
      <c r="C42" s="9"/>
      <c r="D42" s="9"/>
      <c r="E42" s="9"/>
      <c r="F42" s="9"/>
      <c r="G42" s="9"/>
      <c r="H42" s="9"/>
      <c r="I42" s="9"/>
      <c r="J42" s="9"/>
      <c r="K42" s="9"/>
      <c r="L42" s="9"/>
      <c r="M42" s="9"/>
      <c r="N42" s="9"/>
      <c r="O42" s="9"/>
      <c r="P42" s="9"/>
      <c r="Q42" s="39"/>
      <c r="R42" s="39"/>
      <c r="S42" s="9"/>
      <c r="T42" s="9"/>
      <c r="U42" s="9"/>
      <c r="V42" s="9"/>
      <c r="W42" s="9"/>
      <c r="X42" s="9"/>
      <c r="Y42" s="9"/>
      <c r="Z42" s="9"/>
      <c r="AA42" s="9"/>
      <c r="AB42" s="47"/>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row>
    <row r="43" spans="1:97" ht="15.75" thickBot="1">
      <c r="AB43" s="1237"/>
      <c r="AC43" s="133"/>
    </row>
    <row r="44" spans="1:97">
      <c r="A44" s="794" t="s">
        <v>34</v>
      </c>
      <c r="B44" s="795"/>
      <c r="C44" s="795">
        <f t="shared" ref="C44:AA44" si="0">C6</f>
        <v>1997</v>
      </c>
      <c r="D44" s="795">
        <f t="shared" si="0"/>
        <v>1998</v>
      </c>
      <c r="E44" s="795">
        <f t="shared" si="0"/>
        <v>1999</v>
      </c>
      <c r="F44" s="795">
        <f t="shared" si="0"/>
        <v>2000</v>
      </c>
      <c r="G44" s="795">
        <f t="shared" si="0"/>
        <v>2001</v>
      </c>
      <c r="H44" s="795">
        <f t="shared" si="0"/>
        <v>2002</v>
      </c>
      <c r="I44" s="795">
        <f t="shared" si="0"/>
        <v>2003</v>
      </c>
      <c r="J44" s="795">
        <f t="shared" si="0"/>
        <v>2004</v>
      </c>
      <c r="K44" s="795">
        <f t="shared" si="0"/>
        <v>2005</v>
      </c>
      <c r="L44" s="795">
        <f t="shared" si="0"/>
        <v>2006</v>
      </c>
      <c r="M44" s="795">
        <f t="shared" si="0"/>
        <v>2007</v>
      </c>
      <c r="N44" s="795">
        <f t="shared" si="0"/>
        <v>2008</v>
      </c>
      <c r="O44" s="795">
        <f t="shared" si="0"/>
        <v>2009</v>
      </c>
      <c r="P44" s="795">
        <f t="shared" si="0"/>
        <v>2010</v>
      </c>
      <c r="Q44" s="795">
        <f t="shared" si="0"/>
        <v>2011</v>
      </c>
      <c r="R44" s="795">
        <f t="shared" si="0"/>
        <v>2012</v>
      </c>
      <c r="S44" s="795">
        <f t="shared" si="0"/>
        <v>2013</v>
      </c>
      <c r="T44" s="795">
        <f t="shared" si="0"/>
        <v>2014</v>
      </c>
      <c r="U44" s="795">
        <f t="shared" si="0"/>
        <v>2015</v>
      </c>
      <c r="V44" s="795">
        <f t="shared" si="0"/>
        <v>2016</v>
      </c>
      <c r="W44" s="795">
        <f t="shared" si="0"/>
        <v>2017</v>
      </c>
      <c r="X44" s="795">
        <f t="shared" si="0"/>
        <v>2018</v>
      </c>
      <c r="Y44" s="795">
        <f t="shared" si="0"/>
        <v>2019</v>
      </c>
      <c r="Z44" s="795">
        <f t="shared" si="0"/>
        <v>2020</v>
      </c>
      <c r="AA44" s="1121">
        <f t="shared" si="0"/>
        <v>2021</v>
      </c>
      <c r="AB44" s="1233">
        <v>2022</v>
      </c>
      <c r="AC44" s="9"/>
    </row>
    <row r="45" spans="1:97">
      <c r="A45" s="799" t="s">
        <v>36</v>
      </c>
      <c r="B45" s="800" t="s">
        <v>111</v>
      </c>
      <c r="C45" s="801">
        <f t="shared" ref="C45:AA45" si="1">C7</f>
        <v>19430</v>
      </c>
      <c r="D45" s="801">
        <f t="shared" si="1"/>
        <v>18376</v>
      </c>
      <c r="E45" s="801">
        <f t="shared" si="1"/>
        <v>17877</v>
      </c>
      <c r="F45" s="801">
        <f t="shared" si="1"/>
        <v>13536</v>
      </c>
      <c r="G45" s="801">
        <f t="shared" si="1"/>
        <v>18330</v>
      </c>
      <c r="H45" s="801">
        <f t="shared" si="1"/>
        <v>25495</v>
      </c>
      <c r="I45" s="801">
        <f t="shared" si="1"/>
        <v>32091</v>
      </c>
      <c r="J45" s="801">
        <f t="shared" si="1"/>
        <v>31449</v>
      </c>
      <c r="K45" s="801">
        <f t="shared" si="1"/>
        <v>28028</v>
      </c>
      <c r="L45" s="801">
        <f t="shared" si="1"/>
        <v>32487</v>
      </c>
      <c r="M45" s="801">
        <f t="shared" si="1"/>
        <v>28408</v>
      </c>
      <c r="N45" s="801">
        <f t="shared" si="1"/>
        <v>32249</v>
      </c>
      <c r="O45" s="801">
        <f t="shared" si="1"/>
        <v>27843</v>
      </c>
      <c r="P45" s="801">
        <f t="shared" si="1"/>
        <v>30702</v>
      </c>
      <c r="Q45" s="801">
        <f t="shared" si="1"/>
        <v>32582</v>
      </c>
      <c r="R45" s="801">
        <f t="shared" si="1"/>
        <v>32634</v>
      </c>
      <c r="S45" s="801">
        <f t="shared" si="1"/>
        <v>33608</v>
      </c>
      <c r="T45" s="801">
        <f t="shared" si="1"/>
        <v>33042</v>
      </c>
      <c r="U45" s="801">
        <f t="shared" si="1"/>
        <v>36560</v>
      </c>
      <c r="V45" s="801">
        <f t="shared" si="1"/>
        <v>48727</v>
      </c>
      <c r="W45" s="801">
        <f t="shared" si="1"/>
        <v>50680</v>
      </c>
      <c r="X45" s="801">
        <f t="shared" si="1"/>
        <v>57906</v>
      </c>
      <c r="Y45" s="801">
        <f t="shared" si="1"/>
        <v>60570</v>
      </c>
      <c r="Z45" s="801">
        <f t="shared" si="1"/>
        <v>58656</v>
      </c>
      <c r="AA45" s="1122">
        <f t="shared" si="1"/>
        <v>47714</v>
      </c>
      <c r="AB45" s="1234">
        <v>36626</v>
      </c>
      <c r="AC45" s="9"/>
    </row>
    <row r="46" spans="1:97">
      <c r="A46" s="802"/>
      <c r="B46" s="803" t="s">
        <v>112</v>
      </c>
      <c r="C46" s="804">
        <f t="shared" ref="C46:AA46" si="2">C13-C45</f>
        <v>20216</v>
      </c>
      <c r="D46" s="804">
        <f t="shared" si="2"/>
        <v>18342</v>
      </c>
      <c r="E46" s="804">
        <f t="shared" si="2"/>
        <v>17480</v>
      </c>
      <c r="F46" s="804">
        <f t="shared" si="2"/>
        <v>13987</v>
      </c>
      <c r="G46" s="804">
        <f t="shared" si="2"/>
        <v>16372</v>
      </c>
      <c r="H46" s="804">
        <f t="shared" si="2"/>
        <v>21886</v>
      </c>
      <c r="I46" s="804">
        <f t="shared" si="2"/>
        <v>27898</v>
      </c>
      <c r="J46" s="804">
        <f t="shared" si="2"/>
        <v>27278</v>
      </c>
      <c r="K46" s="804">
        <f t="shared" si="2"/>
        <v>25227</v>
      </c>
      <c r="L46" s="804">
        <f t="shared" si="2"/>
        <v>30290</v>
      </c>
      <c r="M46" s="804">
        <f t="shared" si="2"/>
        <v>26292</v>
      </c>
      <c r="N46" s="804">
        <f t="shared" si="2"/>
        <v>27570</v>
      </c>
      <c r="O46" s="804">
        <f t="shared" si="2"/>
        <v>24603</v>
      </c>
      <c r="P46" s="804">
        <f t="shared" si="2"/>
        <v>27406</v>
      </c>
      <c r="Q46" s="804">
        <f t="shared" si="2"/>
        <v>29530</v>
      </c>
      <c r="R46" s="804">
        <f t="shared" si="2"/>
        <v>33053</v>
      </c>
      <c r="S46" s="804">
        <f t="shared" si="2"/>
        <v>33104</v>
      </c>
      <c r="T46" s="804">
        <f t="shared" si="2"/>
        <v>31571</v>
      </c>
      <c r="U46" s="804">
        <f t="shared" si="2"/>
        <v>31861</v>
      </c>
      <c r="V46" s="804">
        <f t="shared" si="2"/>
        <v>47213</v>
      </c>
      <c r="W46" s="804">
        <f t="shared" si="2"/>
        <v>54955</v>
      </c>
      <c r="X46" s="804">
        <f t="shared" si="2"/>
        <v>69719</v>
      </c>
      <c r="Y46" s="804">
        <f t="shared" si="2"/>
        <v>77214</v>
      </c>
      <c r="Z46" s="804">
        <f t="shared" si="2"/>
        <v>75059</v>
      </c>
      <c r="AA46" s="1123">
        <f t="shared" si="2"/>
        <v>61085</v>
      </c>
      <c r="AB46" s="1238">
        <f>AB13-AB7</f>
        <v>45128</v>
      </c>
      <c r="AC46" s="9"/>
    </row>
    <row r="47" spans="1:97">
      <c r="A47" s="799" t="s">
        <v>38</v>
      </c>
      <c r="B47" s="800" t="s">
        <v>111</v>
      </c>
      <c r="C47" s="801">
        <f t="shared" ref="C47:AA47" si="3">C15</f>
        <v>129937</v>
      </c>
      <c r="D47" s="801">
        <f t="shared" si="3"/>
        <v>125704</v>
      </c>
      <c r="E47" s="801">
        <f t="shared" si="3"/>
        <v>125704</v>
      </c>
      <c r="F47" s="801">
        <f t="shared" si="3"/>
        <v>112269</v>
      </c>
      <c r="G47" s="801">
        <f t="shared" si="3"/>
        <v>109375</v>
      </c>
      <c r="H47" s="801">
        <f t="shared" si="3"/>
        <v>108515</v>
      </c>
      <c r="I47" s="801">
        <f t="shared" si="3"/>
        <v>110835</v>
      </c>
      <c r="J47" s="801">
        <f t="shared" si="3"/>
        <v>112527</v>
      </c>
      <c r="K47" s="801">
        <f t="shared" si="3"/>
        <v>111088</v>
      </c>
      <c r="L47" s="801">
        <f t="shared" si="3"/>
        <v>126804</v>
      </c>
      <c r="M47" s="801">
        <f t="shared" si="3"/>
        <v>145040</v>
      </c>
      <c r="N47" s="801">
        <f t="shared" si="3"/>
        <v>151765</v>
      </c>
      <c r="O47" s="801">
        <f t="shared" si="3"/>
        <v>164459</v>
      </c>
      <c r="P47" s="801">
        <f t="shared" si="3"/>
        <v>187237</v>
      </c>
      <c r="Q47" s="801">
        <f t="shared" si="3"/>
        <v>197594</v>
      </c>
      <c r="R47" s="801">
        <f t="shared" si="3"/>
        <v>224917</v>
      </c>
      <c r="S47" s="801">
        <f t="shared" si="3"/>
        <v>225571</v>
      </c>
      <c r="T47" s="801">
        <f t="shared" si="3"/>
        <v>177750</v>
      </c>
      <c r="U47" s="801">
        <f t="shared" si="3"/>
        <v>146749</v>
      </c>
      <c r="V47" s="801">
        <f t="shared" si="3"/>
        <v>160643</v>
      </c>
      <c r="W47" s="801">
        <f t="shared" si="3"/>
        <v>156844</v>
      </c>
      <c r="X47" s="801">
        <f t="shared" si="3"/>
        <v>152440</v>
      </c>
      <c r="Y47" s="801">
        <f t="shared" si="3"/>
        <v>140865</v>
      </c>
      <c r="Z47" s="801">
        <f t="shared" si="3"/>
        <v>140329</v>
      </c>
      <c r="AA47" s="1122">
        <f t="shared" si="3"/>
        <v>141853</v>
      </c>
      <c r="AB47" s="1234">
        <v>155117</v>
      </c>
      <c r="AC47" s="9"/>
    </row>
    <row r="48" spans="1:97">
      <c r="A48" s="802"/>
      <c r="B48" s="803" t="s">
        <v>112</v>
      </c>
      <c r="C48" s="804">
        <f t="shared" ref="C48:AA48" si="4">C20-C47</f>
        <v>17749</v>
      </c>
      <c r="D48" s="804">
        <f t="shared" si="4"/>
        <v>15744</v>
      </c>
      <c r="E48" s="804">
        <f t="shared" si="4"/>
        <v>15744</v>
      </c>
      <c r="F48" s="804">
        <f t="shared" si="4"/>
        <v>13611</v>
      </c>
      <c r="G48" s="804">
        <f t="shared" si="4"/>
        <v>12367</v>
      </c>
      <c r="H48" s="804">
        <f t="shared" si="4"/>
        <v>11503</v>
      </c>
      <c r="I48" s="804">
        <f t="shared" si="4"/>
        <v>11676</v>
      </c>
      <c r="J48" s="804">
        <f t="shared" si="4"/>
        <v>11665</v>
      </c>
      <c r="K48" s="804">
        <f t="shared" si="4"/>
        <v>11856</v>
      </c>
      <c r="L48" s="804">
        <f t="shared" si="4"/>
        <v>14595</v>
      </c>
      <c r="M48" s="804">
        <f t="shared" si="4"/>
        <v>19914</v>
      </c>
      <c r="N48" s="804">
        <f t="shared" si="4"/>
        <v>25185</v>
      </c>
      <c r="O48" s="804">
        <f t="shared" si="4"/>
        <v>28890</v>
      </c>
      <c r="P48" s="804">
        <f t="shared" si="4"/>
        <v>35456</v>
      </c>
      <c r="Q48" s="804">
        <f t="shared" si="4"/>
        <v>40729</v>
      </c>
      <c r="R48" s="804">
        <f t="shared" si="4"/>
        <v>49874</v>
      </c>
      <c r="S48" s="804">
        <f t="shared" si="4"/>
        <v>51508</v>
      </c>
      <c r="T48" s="804">
        <f t="shared" si="4"/>
        <v>49392</v>
      </c>
      <c r="U48" s="804">
        <f t="shared" si="4"/>
        <v>42609</v>
      </c>
      <c r="V48" s="804">
        <f t="shared" si="4"/>
        <v>42444</v>
      </c>
      <c r="W48" s="804">
        <f t="shared" si="4"/>
        <v>42733</v>
      </c>
      <c r="X48" s="804">
        <f t="shared" si="4"/>
        <v>42085</v>
      </c>
      <c r="Y48" s="804">
        <f t="shared" si="4"/>
        <v>39045</v>
      </c>
      <c r="Z48" s="804">
        <f t="shared" si="4"/>
        <v>39054</v>
      </c>
      <c r="AA48" s="1123">
        <f t="shared" si="4"/>
        <v>42519</v>
      </c>
      <c r="AB48" s="1238">
        <f>AB20-AB15</f>
        <v>46303</v>
      </c>
      <c r="AC48" s="9"/>
    </row>
    <row r="49" spans="1:29">
      <c r="A49" s="799" t="s">
        <v>42</v>
      </c>
      <c r="B49" s="800" t="s">
        <v>111</v>
      </c>
      <c r="C49" s="801">
        <f t="shared" ref="C49:AA49" si="5">C23</f>
        <v>14497</v>
      </c>
      <c r="D49" s="801">
        <f t="shared" si="5"/>
        <v>35900</v>
      </c>
      <c r="E49" s="801">
        <f t="shared" si="5"/>
        <v>43314</v>
      </c>
      <c r="F49" s="801">
        <f t="shared" si="5"/>
        <v>22943</v>
      </c>
      <c r="G49" s="801">
        <f t="shared" si="5"/>
        <v>21833</v>
      </c>
      <c r="H49" s="801">
        <f t="shared" si="5"/>
        <v>30175</v>
      </c>
      <c r="I49" s="801">
        <f t="shared" si="5"/>
        <v>30525</v>
      </c>
      <c r="J49" s="801">
        <f t="shared" si="5"/>
        <v>35284</v>
      </c>
      <c r="K49" s="801">
        <f t="shared" si="5"/>
        <v>53419</v>
      </c>
      <c r="L49" s="801">
        <f t="shared" si="5"/>
        <v>89303</v>
      </c>
      <c r="M49" s="801">
        <f t="shared" si="5"/>
        <v>91562</v>
      </c>
      <c r="N49" s="801">
        <f t="shared" si="5"/>
        <v>61109</v>
      </c>
      <c r="O49" s="801">
        <f t="shared" si="5"/>
        <v>42129</v>
      </c>
      <c r="P49" s="801">
        <f t="shared" si="5"/>
        <v>51404</v>
      </c>
      <c r="Q49" s="801">
        <f t="shared" si="5"/>
        <v>72258</v>
      </c>
      <c r="R49" s="801">
        <f t="shared" si="5"/>
        <v>84061</v>
      </c>
      <c r="S49" s="801">
        <f t="shared" si="5"/>
        <v>95667</v>
      </c>
      <c r="T49" s="801">
        <f t="shared" si="5"/>
        <v>97294</v>
      </c>
      <c r="U49" s="801">
        <f t="shared" si="5"/>
        <v>76318</v>
      </c>
      <c r="V49" s="801">
        <f t="shared" si="5"/>
        <v>82400</v>
      </c>
      <c r="W49" s="801">
        <f t="shared" si="5"/>
        <v>90847</v>
      </c>
      <c r="X49" s="801">
        <f t="shared" si="5"/>
        <v>89227</v>
      </c>
      <c r="Y49" s="801">
        <f t="shared" si="5"/>
        <v>94852</v>
      </c>
      <c r="Z49" s="801">
        <f t="shared" si="5"/>
        <v>103881</v>
      </c>
      <c r="AA49" s="1122">
        <f t="shared" si="5"/>
        <v>110351</v>
      </c>
      <c r="AB49" s="1234">
        <v>99202</v>
      </c>
      <c r="AC49" s="9"/>
    </row>
    <row r="50" spans="1:29">
      <c r="A50" s="802"/>
      <c r="B50" s="803" t="s">
        <v>112</v>
      </c>
      <c r="C50" s="804">
        <f t="shared" ref="C50:AA50" si="6">C27-C49</f>
        <v>10082</v>
      </c>
      <c r="D50" s="804">
        <f t="shared" si="6"/>
        <v>16990</v>
      </c>
      <c r="E50" s="804">
        <f t="shared" si="6"/>
        <v>23737</v>
      </c>
      <c r="F50" s="804">
        <f t="shared" si="6"/>
        <v>12013</v>
      </c>
      <c r="G50" s="804">
        <f t="shared" si="6"/>
        <v>12842</v>
      </c>
      <c r="H50" s="804">
        <f t="shared" si="6"/>
        <v>14871</v>
      </c>
      <c r="I50" s="804">
        <f t="shared" si="6"/>
        <v>13651</v>
      </c>
      <c r="J50" s="804">
        <f t="shared" si="6"/>
        <v>13784</v>
      </c>
      <c r="K50" s="804">
        <f t="shared" si="6"/>
        <v>20093</v>
      </c>
      <c r="L50" s="804">
        <f t="shared" si="6"/>
        <v>31487</v>
      </c>
      <c r="M50" s="804">
        <f t="shared" si="6"/>
        <v>32143</v>
      </c>
      <c r="N50" s="804">
        <f t="shared" si="6"/>
        <v>22414</v>
      </c>
      <c r="O50" s="804">
        <f t="shared" si="6"/>
        <v>14603</v>
      </c>
      <c r="P50" s="804">
        <f t="shared" si="6"/>
        <v>17439</v>
      </c>
      <c r="Q50" s="804">
        <f t="shared" si="6"/>
        <v>22462</v>
      </c>
      <c r="R50" s="804">
        <f t="shared" si="6"/>
        <v>29406</v>
      </c>
      <c r="S50" s="804">
        <f t="shared" si="6"/>
        <v>31663</v>
      </c>
      <c r="T50" s="804">
        <f t="shared" si="6"/>
        <v>32492</v>
      </c>
      <c r="U50" s="804">
        <f t="shared" si="6"/>
        <v>25555</v>
      </c>
      <c r="V50" s="804">
        <f t="shared" si="6"/>
        <v>26475</v>
      </c>
      <c r="W50" s="804">
        <f t="shared" si="6"/>
        <v>29815</v>
      </c>
      <c r="X50" s="804">
        <f t="shared" si="6"/>
        <v>29785</v>
      </c>
      <c r="Y50" s="804">
        <f t="shared" si="6"/>
        <v>30809</v>
      </c>
      <c r="Z50" s="804">
        <f t="shared" si="6"/>
        <v>30885</v>
      </c>
      <c r="AA50" s="1123">
        <f t="shared" si="6"/>
        <v>35531</v>
      </c>
      <c r="AB50" s="1238">
        <f>AB27-AB23</f>
        <v>35978</v>
      </c>
      <c r="AC50" s="9"/>
    </row>
    <row r="51" spans="1:29">
      <c r="A51" s="799" t="s">
        <v>43</v>
      </c>
      <c r="B51" s="800" t="s">
        <v>111</v>
      </c>
      <c r="C51" s="801">
        <f t="shared" ref="C51:AA51" si="7">C31</f>
        <v>1532</v>
      </c>
      <c r="D51" s="801">
        <f t="shared" si="7"/>
        <v>1653</v>
      </c>
      <c r="E51" s="801">
        <f t="shared" si="7"/>
        <v>3097</v>
      </c>
      <c r="F51" s="801">
        <f t="shared" si="7"/>
        <v>6177</v>
      </c>
      <c r="G51" s="801">
        <f t="shared" si="7"/>
        <v>5395</v>
      </c>
      <c r="H51" s="801">
        <f t="shared" si="7"/>
        <v>5868</v>
      </c>
      <c r="I51" s="801">
        <f t="shared" si="7"/>
        <v>11404</v>
      </c>
      <c r="J51" s="801">
        <f t="shared" si="7"/>
        <v>18241</v>
      </c>
      <c r="K51" s="801">
        <f t="shared" si="7"/>
        <v>20705</v>
      </c>
      <c r="L51" s="801">
        <f t="shared" si="7"/>
        <v>25077</v>
      </c>
      <c r="M51" s="801">
        <f t="shared" si="7"/>
        <v>31945</v>
      </c>
      <c r="N51" s="801">
        <f t="shared" si="7"/>
        <v>46590</v>
      </c>
      <c r="O51" s="801">
        <f t="shared" si="7"/>
        <v>65391</v>
      </c>
      <c r="P51" s="801">
        <f t="shared" si="7"/>
        <v>79767</v>
      </c>
      <c r="Q51" s="801">
        <f t="shared" si="7"/>
        <v>112347</v>
      </c>
      <c r="R51" s="801">
        <f t="shared" si="7"/>
        <v>143847</v>
      </c>
      <c r="S51" s="801">
        <f t="shared" si="7"/>
        <v>143535</v>
      </c>
      <c r="T51" s="801">
        <f t="shared" si="7"/>
        <v>162680</v>
      </c>
      <c r="U51" s="801">
        <f t="shared" si="7"/>
        <v>263436</v>
      </c>
      <c r="V51" s="801">
        <f t="shared" si="7"/>
        <v>302136</v>
      </c>
      <c r="W51" s="801">
        <f t="shared" si="7"/>
        <v>326970</v>
      </c>
      <c r="X51" s="801">
        <f t="shared" si="7"/>
        <v>345959</v>
      </c>
      <c r="Y51" s="801">
        <f t="shared" si="7"/>
        <v>360919</v>
      </c>
      <c r="Z51" s="801">
        <f t="shared" si="7"/>
        <v>440691</v>
      </c>
      <c r="AA51" s="1122">
        <f t="shared" si="7"/>
        <v>585910</v>
      </c>
      <c r="AB51" s="1234">
        <v>695591</v>
      </c>
      <c r="AC51" s="9"/>
    </row>
    <row r="52" spans="1:29">
      <c r="A52" s="802"/>
      <c r="B52" s="803" t="s">
        <v>112</v>
      </c>
      <c r="C52" s="804">
        <f t="shared" ref="C52:AA52" si="8">C34-C51</f>
        <v>1962</v>
      </c>
      <c r="D52" s="804">
        <f t="shared" si="8"/>
        <v>3082</v>
      </c>
      <c r="E52" s="804">
        <f t="shared" si="8"/>
        <v>4540</v>
      </c>
      <c r="F52" s="804">
        <f t="shared" si="8"/>
        <v>6881</v>
      </c>
      <c r="G52" s="804">
        <f t="shared" si="8"/>
        <v>10901</v>
      </c>
      <c r="H52" s="804">
        <f t="shared" si="8"/>
        <v>15389</v>
      </c>
      <c r="I52" s="804">
        <f t="shared" si="8"/>
        <v>25745</v>
      </c>
      <c r="J52" s="804">
        <f t="shared" si="8"/>
        <v>31119</v>
      </c>
      <c r="K52" s="804">
        <f t="shared" si="8"/>
        <v>32600</v>
      </c>
      <c r="L52" s="804">
        <f t="shared" si="8"/>
        <v>32709</v>
      </c>
      <c r="M52" s="804">
        <f t="shared" si="8"/>
        <v>36003</v>
      </c>
      <c r="N52" s="804">
        <f t="shared" si="8"/>
        <v>47116</v>
      </c>
      <c r="O52" s="804">
        <f t="shared" si="8"/>
        <v>62998</v>
      </c>
      <c r="P52" s="804">
        <f t="shared" si="8"/>
        <v>55343</v>
      </c>
      <c r="Q52" s="804">
        <f t="shared" si="8"/>
        <v>59766</v>
      </c>
      <c r="R52" s="804">
        <f t="shared" si="8"/>
        <v>73258</v>
      </c>
      <c r="S52" s="804">
        <f t="shared" si="8"/>
        <v>64153</v>
      </c>
      <c r="T52" s="804">
        <f t="shared" si="8"/>
        <v>70548</v>
      </c>
      <c r="U52" s="804">
        <f t="shared" si="8"/>
        <v>95880</v>
      </c>
      <c r="V52" s="804">
        <f t="shared" si="8"/>
        <v>102072</v>
      </c>
      <c r="W52" s="804">
        <f t="shared" si="8"/>
        <v>93174</v>
      </c>
      <c r="X52" s="804">
        <f t="shared" si="8"/>
        <v>86188</v>
      </c>
      <c r="Y52" s="804">
        <f t="shared" si="8"/>
        <v>91885</v>
      </c>
      <c r="Z52" s="804">
        <f t="shared" si="8"/>
        <v>89436</v>
      </c>
      <c r="AA52" s="1123">
        <f t="shared" si="8"/>
        <v>110036</v>
      </c>
      <c r="AB52" s="1238">
        <f>AB34-AB31</f>
        <v>102756</v>
      </c>
      <c r="AC52" s="9"/>
    </row>
    <row r="53" spans="1:29">
      <c r="A53" s="796" t="s">
        <v>44</v>
      </c>
      <c r="B53" s="436" t="s">
        <v>111</v>
      </c>
      <c r="C53" s="801">
        <f t="shared" ref="C53:AA53" si="9">C39</f>
        <v>61707</v>
      </c>
      <c r="D53" s="801">
        <f t="shared" si="9"/>
        <v>80292</v>
      </c>
      <c r="E53" s="801">
        <f t="shared" si="9"/>
        <v>80292</v>
      </c>
      <c r="F53" s="801">
        <f t="shared" si="9"/>
        <v>85072</v>
      </c>
      <c r="G53" s="801">
        <f t="shared" si="9"/>
        <v>87610</v>
      </c>
      <c r="H53" s="801">
        <f t="shared" si="9"/>
        <v>86980</v>
      </c>
      <c r="I53" s="801">
        <f t="shared" si="9"/>
        <v>87901</v>
      </c>
      <c r="J53" s="801">
        <f t="shared" si="9"/>
        <v>84271</v>
      </c>
      <c r="K53" s="801">
        <f t="shared" si="9"/>
        <v>74637</v>
      </c>
      <c r="L53" s="801">
        <f t="shared" si="9"/>
        <v>89823</v>
      </c>
      <c r="M53" s="801">
        <f t="shared" si="9"/>
        <v>80171</v>
      </c>
      <c r="N53" s="801">
        <f t="shared" si="9"/>
        <v>78267</v>
      </c>
      <c r="O53" s="801">
        <f t="shared" si="9"/>
        <v>82382</v>
      </c>
      <c r="P53" s="801">
        <f t="shared" si="9"/>
        <v>107792</v>
      </c>
      <c r="Q53" s="801">
        <f t="shared" si="9"/>
        <v>108626</v>
      </c>
      <c r="R53" s="801">
        <f t="shared" si="9"/>
        <v>121026</v>
      </c>
      <c r="S53" s="801">
        <f t="shared" si="9"/>
        <v>133593</v>
      </c>
      <c r="T53" s="801">
        <f t="shared" si="9"/>
        <v>144621</v>
      </c>
      <c r="U53" s="801">
        <f t="shared" si="9"/>
        <v>140969</v>
      </c>
      <c r="V53" s="801">
        <f t="shared" si="9"/>
        <v>143723</v>
      </c>
      <c r="W53" s="801">
        <f t="shared" si="9"/>
        <v>150949</v>
      </c>
      <c r="X53" s="801">
        <f t="shared" si="9"/>
        <v>144413</v>
      </c>
      <c r="Y53" s="801">
        <f t="shared" si="9"/>
        <v>167115</v>
      </c>
      <c r="Z53" s="801">
        <f t="shared" si="9"/>
        <v>164555</v>
      </c>
      <c r="AA53" s="1122">
        <f t="shared" si="9"/>
        <v>149700</v>
      </c>
      <c r="AB53" s="1234">
        <v>141938</v>
      </c>
      <c r="AC53" s="9"/>
    </row>
    <row r="54" spans="1:29" ht="15.75" thickBot="1">
      <c r="A54" s="797"/>
      <c r="B54" s="95" t="s">
        <v>112</v>
      </c>
      <c r="C54" s="798">
        <f t="shared" ref="C54:AA54" si="10">C41-C53</f>
        <v>50277</v>
      </c>
      <c r="D54" s="798">
        <f t="shared" si="10"/>
        <v>67228</v>
      </c>
      <c r="E54" s="798">
        <f t="shared" si="10"/>
        <v>67228</v>
      </c>
      <c r="F54" s="798">
        <f t="shared" si="10"/>
        <v>72425</v>
      </c>
      <c r="G54" s="798">
        <f t="shared" si="10"/>
        <v>78435</v>
      </c>
      <c r="H54" s="798">
        <f t="shared" si="10"/>
        <v>80354</v>
      </c>
      <c r="I54" s="798">
        <f t="shared" si="10"/>
        <v>81125</v>
      </c>
      <c r="J54" s="798">
        <f t="shared" si="10"/>
        <v>80022</v>
      </c>
      <c r="K54" s="798">
        <f t="shared" si="10"/>
        <v>69169</v>
      </c>
      <c r="L54" s="798">
        <f t="shared" si="10"/>
        <v>83949</v>
      </c>
      <c r="M54" s="798">
        <f t="shared" si="10"/>
        <v>78667</v>
      </c>
      <c r="N54" s="798">
        <f t="shared" si="10"/>
        <v>81392</v>
      </c>
      <c r="O54" s="798">
        <f t="shared" si="10"/>
        <v>84967</v>
      </c>
      <c r="P54" s="798">
        <f t="shared" si="10"/>
        <v>111822</v>
      </c>
      <c r="Q54" s="798">
        <f t="shared" si="10"/>
        <v>115879</v>
      </c>
      <c r="R54" s="798">
        <f t="shared" si="10"/>
        <v>132129</v>
      </c>
      <c r="S54" s="798">
        <f t="shared" si="10"/>
        <v>144242</v>
      </c>
      <c r="T54" s="798">
        <f t="shared" si="10"/>
        <v>156056</v>
      </c>
      <c r="U54" s="798">
        <f t="shared" si="10"/>
        <v>157438</v>
      </c>
      <c r="V54" s="798">
        <f t="shared" si="10"/>
        <v>159326</v>
      </c>
      <c r="W54" s="798">
        <f t="shared" si="10"/>
        <v>167880</v>
      </c>
      <c r="X54" s="798">
        <f t="shared" si="10"/>
        <v>163346</v>
      </c>
      <c r="Y54" s="798">
        <f t="shared" si="10"/>
        <v>187315</v>
      </c>
      <c r="Z54" s="798">
        <f t="shared" si="10"/>
        <v>187438</v>
      </c>
      <c r="AA54" s="1124">
        <f t="shared" si="10"/>
        <v>178075</v>
      </c>
      <c r="AB54" s="1239">
        <f>AB41-AB39</f>
        <v>181480</v>
      </c>
      <c r="AC54" s="9"/>
    </row>
    <row r="55" spans="1:29">
      <c r="AB55" s="1115"/>
      <c r="AC55" s="9"/>
    </row>
    <row r="56" spans="1:29">
      <c r="AB56" s="1115"/>
      <c r="AC56" s="9"/>
    </row>
    <row r="57" spans="1:29">
      <c r="AB57" s="1115"/>
      <c r="AC57" s="9"/>
    </row>
    <row r="58" spans="1:29">
      <c r="AB58" s="1115"/>
      <c r="AC58" s="39"/>
    </row>
    <row r="59" spans="1:29">
      <c r="AB59" s="1115"/>
      <c r="AC59" s="39"/>
    </row>
    <row r="60" spans="1:29">
      <c r="AB60" s="1115"/>
      <c r="AC60" s="39"/>
    </row>
    <row r="61" spans="1:29">
      <c r="AB61" s="1115"/>
      <c r="AC61" s="9"/>
    </row>
    <row r="62" spans="1:29">
      <c r="AB62" s="1115"/>
      <c r="AC62" s="9"/>
    </row>
    <row r="63" spans="1:29">
      <c r="AB63" s="1115"/>
      <c r="AC63" s="39"/>
    </row>
    <row r="64" spans="1:29">
      <c r="AB64" s="1115"/>
      <c r="AC64" s="39"/>
    </row>
    <row r="65" spans="28:99">
      <c r="AB65" s="1115"/>
      <c r="AC65" s="9"/>
    </row>
    <row r="66" spans="28:99">
      <c r="AB66" s="1115"/>
      <c r="AC66" s="9"/>
    </row>
    <row r="67" spans="28:99">
      <c r="AB67" s="1115"/>
      <c r="AC67" s="9"/>
    </row>
    <row r="68" spans="28:99">
      <c r="AB68" s="1115"/>
      <c r="AC68" s="9"/>
    </row>
    <row r="69" spans="28:99">
      <c r="AB69" s="1115"/>
      <c r="AC69" s="9"/>
    </row>
    <row r="70" spans="28:99">
      <c r="AB70" s="1115"/>
      <c r="AC70" s="9"/>
    </row>
    <row r="71" spans="28:99">
      <c r="AB71" s="1115"/>
      <c r="AC71" s="9"/>
    </row>
    <row r="72" spans="28:99">
      <c r="AB72" s="1115"/>
      <c r="AC72" s="9"/>
    </row>
    <row r="73" spans="28:99">
      <c r="AB73" s="1115"/>
      <c r="AC73" s="9"/>
    </row>
    <row r="74" spans="28:99">
      <c r="AB74" s="1115"/>
      <c r="AC74" s="9"/>
    </row>
    <row r="75" spans="28:99">
      <c r="AB75" s="1115"/>
      <c r="AC75" s="9"/>
    </row>
    <row r="76" spans="28:99">
      <c r="AB76" s="1115"/>
      <c r="AC76" s="9"/>
    </row>
    <row r="77" spans="28:99">
      <c r="AB77" s="1115"/>
      <c r="AC77" s="9"/>
    </row>
    <row r="78" spans="28:99">
      <c r="AB78" s="1115"/>
      <c r="AC78" s="9"/>
    </row>
    <row r="79" spans="28:99">
      <c r="AB79" s="1115"/>
      <c r="AC79" s="9"/>
    </row>
    <row r="80" spans="28:99" s="1086" customFormat="1">
      <c r="AB80" s="9"/>
      <c r="AC80" s="9"/>
      <c r="AE80" s="1359" t="s">
        <v>36</v>
      </c>
      <c r="AF80" s="1360"/>
      <c r="AG80" s="1360"/>
      <c r="AH80" s="1360"/>
      <c r="AI80" s="1360"/>
      <c r="AJ80" s="1360"/>
      <c r="AK80" s="1360"/>
      <c r="AL80" s="1360"/>
      <c r="AM80" s="1360"/>
      <c r="AN80" s="1360"/>
      <c r="AO80" s="1360"/>
      <c r="AP80" s="1360"/>
      <c r="AQ80" s="1360"/>
      <c r="AR80" s="1360"/>
      <c r="AS80" s="1360" t="s">
        <v>38</v>
      </c>
      <c r="AT80" s="1360"/>
      <c r="AU80" s="1360"/>
      <c r="AV80" s="1360"/>
      <c r="AW80" s="1360"/>
      <c r="AX80" s="1360"/>
      <c r="AY80" s="1360"/>
      <c r="AZ80" s="1360"/>
      <c r="BA80" s="1360"/>
      <c r="BB80" s="1360"/>
      <c r="BC80" s="1360"/>
      <c r="BD80" s="1360"/>
      <c r="BE80" s="1360"/>
      <c r="BF80" s="1360"/>
      <c r="BG80" s="1360" t="s">
        <v>42</v>
      </c>
      <c r="BH80" s="1360"/>
      <c r="BI80" s="1360"/>
      <c r="BJ80" s="1360"/>
      <c r="BK80" s="1360"/>
      <c r="BL80" s="1360"/>
      <c r="BM80" s="1360"/>
      <c r="BN80" s="1360"/>
      <c r="BO80" s="1360"/>
      <c r="BP80" s="1360"/>
      <c r="BQ80" s="1360"/>
      <c r="BR80" s="1360"/>
      <c r="BS80" s="1360"/>
      <c r="BT80" s="1360"/>
      <c r="BU80" s="1360" t="s">
        <v>43</v>
      </c>
      <c r="BV80" s="1360"/>
      <c r="BW80" s="1360"/>
      <c r="BX80" s="1360"/>
      <c r="BY80" s="1360"/>
      <c r="BZ80" s="1360"/>
      <c r="CA80" s="1360"/>
      <c r="CB80" s="1360"/>
      <c r="CC80" s="1360"/>
      <c r="CD80" s="1360"/>
      <c r="CE80" s="1360"/>
      <c r="CF80" s="1360"/>
      <c r="CG80" s="1360"/>
      <c r="CH80" s="1360"/>
      <c r="CI80" s="1360" t="s">
        <v>44</v>
      </c>
      <c r="CJ80" s="1360"/>
      <c r="CK80" s="1360"/>
      <c r="CL80" s="1360"/>
      <c r="CM80" s="1360"/>
      <c r="CN80" s="1360"/>
      <c r="CO80" s="1360"/>
      <c r="CP80" s="1360"/>
      <c r="CQ80" s="1360"/>
      <c r="CR80" s="1360"/>
      <c r="CS80" s="1360"/>
      <c r="CT80" s="1360"/>
      <c r="CU80" s="1361"/>
    </row>
    <row r="81" spans="1:99" s="1086" customFormat="1">
      <c r="AE81" s="1362">
        <f t="shared" ref="AE81:AP81" si="11">P6</f>
        <v>2010</v>
      </c>
      <c r="AF81" s="1363">
        <f t="shared" si="11"/>
        <v>2011</v>
      </c>
      <c r="AG81" s="1363">
        <f t="shared" si="11"/>
        <v>2012</v>
      </c>
      <c r="AH81" s="1363">
        <f t="shared" si="11"/>
        <v>2013</v>
      </c>
      <c r="AI81" s="1363">
        <f t="shared" si="11"/>
        <v>2014</v>
      </c>
      <c r="AJ81" s="1363">
        <f t="shared" si="11"/>
        <v>2015</v>
      </c>
      <c r="AK81" s="1363">
        <f t="shared" si="11"/>
        <v>2016</v>
      </c>
      <c r="AL81" s="1363">
        <f t="shared" si="11"/>
        <v>2017</v>
      </c>
      <c r="AM81" s="1363">
        <f t="shared" si="11"/>
        <v>2018</v>
      </c>
      <c r="AN81" s="1363">
        <f t="shared" si="11"/>
        <v>2019</v>
      </c>
      <c r="AO81" s="1363">
        <f t="shared" si="11"/>
        <v>2020</v>
      </c>
      <c r="AP81" s="1363">
        <f t="shared" si="11"/>
        <v>2021</v>
      </c>
      <c r="AQ81" s="1363">
        <v>2022</v>
      </c>
      <c r="AR81" s="1363"/>
      <c r="AS81" s="1363">
        <f t="shared" ref="AS81:BD81" si="12">AE81</f>
        <v>2010</v>
      </c>
      <c r="AT81" s="1363">
        <f t="shared" si="12"/>
        <v>2011</v>
      </c>
      <c r="AU81" s="1363">
        <f t="shared" si="12"/>
        <v>2012</v>
      </c>
      <c r="AV81" s="1363">
        <f t="shared" si="12"/>
        <v>2013</v>
      </c>
      <c r="AW81" s="1363">
        <f t="shared" si="12"/>
        <v>2014</v>
      </c>
      <c r="AX81" s="1363">
        <f t="shared" si="12"/>
        <v>2015</v>
      </c>
      <c r="AY81" s="1363">
        <f t="shared" si="12"/>
        <v>2016</v>
      </c>
      <c r="AZ81" s="1363">
        <f t="shared" si="12"/>
        <v>2017</v>
      </c>
      <c r="BA81" s="1363">
        <f t="shared" si="12"/>
        <v>2018</v>
      </c>
      <c r="BB81" s="1363">
        <f t="shared" si="12"/>
        <v>2019</v>
      </c>
      <c r="BC81" s="1363">
        <f t="shared" si="12"/>
        <v>2020</v>
      </c>
      <c r="BD81" s="1363">
        <f t="shared" si="12"/>
        <v>2021</v>
      </c>
      <c r="BE81" s="1363">
        <v>2022</v>
      </c>
      <c r="BF81" s="1363"/>
      <c r="BG81" s="1363">
        <f t="shared" ref="BG81:BR81" si="13">AS81</f>
        <v>2010</v>
      </c>
      <c r="BH81" s="1363">
        <f t="shared" si="13"/>
        <v>2011</v>
      </c>
      <c r="BI81" s="1363">
        <f t="shared" si="13"/>
        <v>2012</v>
      </c>
      <c r="BJ81" s="1363">
        <f t="shared" si="13"/>
        <v>2013</v>
      </c>
      <c r="BK81" s="1363">
        <f t="shared" si="13"/>
        <v>2014</v>
      </c>
      <c r="BL81" s="1363">
        <f t="shared" si="13"/>
        <v>2015</v>
      </c>
      <c r="BM81" s="1363">
        <f t="shared" si="13"/>
        <v>2016</v>
      </c>
      <c r="BN81" s="1363">
        <f t="shared" si="13"/>
        <v>2017</v>
      </c>
      <c r="BO81" s="1363">
        <f t="shared" si="13"/>
        <v>2018</v>
      </c>
      <c r="BP81" s="1363">
        <f t="shared" si="13"/>
        <v>2019</v>
      </c>
      <c r="BQ81" s="1363">
        <f t="shared" si="13"/>
        <v>2020</v>
      </c>
      <c r="BR81" s="1363">
        <f t="shared" si="13"/>
        <v>2021</v>
      </c>
      <c r="BS81" s="1363">
        <v>2022</v>
      </c>
      <c r="BT81" s="1363"/>
      <c r="BU81" s="1363">
        <f t="shared" ref="BU81:CG81" si="14">BG81</f>
        <v>2010</v>
      </c>
      <c r="BV81" s="1363">
        <f t="shared" si="14"/>
        <v>2011</v>
      </c>
      <c r="BW81" s="1363">
        <f t="shared" si="14"/>
        <v>2012</v>
      </c>
      <c r="BX81" s="1363">
        <f t="shared" si="14"/>
        <v>2013</v>
      </c>
      <c r="BY81" s="1363">
        <f t="shared" si="14"/>
        <v>2014</v>
      </c>
      <c r="BZ81" s="1363">
        <f t="shared" si="14"/>
        <v>2015</v>
      </c>
      <c r="CA81" s="1363">
        <f t="shared" si="14"/>
        <v>2016</v>
      </c>
      <c r="CB81" s="1363">
        <f t="shared" si="14"/>
        <v>2017</v>
      </c>
      <c r="CC81" s="1363">
        <f t="shared" si="14"/>
        <v>2018</v>
      </c>
      <c r="CD81" s="1363">
        <f t="shared" si="14"/>
        <v>2019</v>
      </c>
      <c r="CE81" s="1363">
        <f t="shared" si="14"/>
        <v>2020</v>
      </c>
      <c r="CF81" s="1363">
        <f t="shared" si="14"/>
        <v>2021</v>
      </c>
      <c r="CG81" s="1363">
        <f t="shared" si="14"/>
        <v>2022</v>
      </c>
      <c r="CH81" s="1363"/>
      <c r="CI81" s="1363">
        <f t="shared" ref="CI81:CT81" si="15">BU81</f>
        <v>2010</v>
      </c>
      <c r="CJ81" s="1363">
        <f t="shared" si="15"/>
        <v>2011</v>
      </c>
      <c r="CK81" s="1363">
        <f t="shared" si="15"/>
        <v>2012</v>
      </c>
      <c r="CL81" s="1363">
        <f t="shared" si="15"/>
        <v>2013</v>
      </c>
      <c r="CM81" s="1363">
        <f t="shared" si="15"/>
        <v>2014</v>
      </c>
      <c r="CN81" s="1363">
        <f t="shared" si="15"/>
        <v>2015</v>
      </c>
      <c r="CO81" s="1363">
        <f t="shared" si="15"/>
        <v>2016</v>
      </c>
      <c r="CP81" s="1363">
        <f t="shared" si="15"/>
        <v>2017</v>
      </c>
      <c r="CQ81" s="1363">
        <f t="shared" si="15"/>
        <v>2018</v>
      </c>
      <c r="CR81" s="1363">
        <f t="shared" si="15"/>
        <v>2019</v>
      </c>
      <c r="CS81" s="1363">
        <f t="shared" si="15"/>
        <v>2020</v>
      </c>
      <c r="CT81" s="1363">
        <f t="shared" si="15"/>
        <v>2021</v>
      </c>
      <c r="CU81" s="1364">
        <v>2022</v>
      </c>
    </row>
    <row r="82" spans="1:99" s="1086" customFormat="1">
      <c r="AE82" s="1365">
        <f t="shared" ref="AE82:AQ83" si="16">P45/1000</f>
        <v>30.702000000000002</v>
      </c>
      <c r="AF82" s="1366">
        <f t="shared" si="16"/>
        <v>32.582000000000001</v>
      </c>
      <c r="AG82" s="1366">
        <f t="shared" si="16"/>
        <v>32.634</v>
      </c>
      <c r="AH82" s="1366">
        <f t="shared" si="16"/>
        <v>33.607999999999997</v>
      </c>
      <c r="AI82" s="1366">
        <f t="shared" si="16"/>
        <v>33.042000000000002</v>
      </c>
      <c r="AJ82" s="1366">
        <f t="shared" si="16"/>
        <v>36.56</v>
      </c>
      <c r="AK82" s="1366">
        <f t="shared" si="16"/>
        <v>48.726999999999997</v>
      </c>
      <c r="AL82" s="1366">
        <f t="shared" si="16"/>
        <v>50.68</v>
      </c>
      <c r="AM82" s="1366">
        <f t="shared" si="16"/>
        <v>57.905999999999999</v>
      </c>
      <c r="AN82" s="1366">
        <f t="shared" si="16"/>
        <v>60.57</v>
      </c>
      <c r="AO82" s="1366">
        <f t="shared" si="16"/>
        <v>58.655999999999999</v>
      </c>
      <c r="AP82" s="1366">
        <f t="shared" si="16"/>
        <v>47.713999999999999</v>
      </c>
      <c r="AQ82" s="1366">
        <f t="shared" si="16"/>
        <v>36.625999999999998</v>
      </c>
      <c r="AR82" s="1366"/>
      <c r="AS82" s="1366">
        <f t="shared" ref="AS82:BE83" si="17">P47/1000</f>
        <v>187.23699999999999</v>
      </c>
      <c r="AT82" s="1366">
        <f t="shared" si="17"/>
        <v>197.59399999999999</v>
      </c>
      <c r="AU82" s="1366">
        <f t="shared" si="17"/>
        <v>224.917</v>
      </c>
      <c r="AV82" s="1366">
        <f t="shared" si="17"/>
        <v>225.571</v>
      </c>
      <c r="AW82" s="1366">
        <f t="shared" si="17"/>
        <v>177.75</v>
      </c>
      <c r="AX82" s="1366">
        <f t="shared" si="17"/>
        <v>146.749</v>
      </c>
      <c r="AY82" s="1366">
        <f t="shared" si="17"/>
        <v>160.643</v>
      </c>
      <c r="AZ82" s="1366">
        <f t="shared" si="17"/>
        <v>156.84399999999999</v>
      </c>
      <c r="BA82" s="1366">
        <f t="shared" si="17"/>
        <v>152.44</v>
      </c>
      <c r="BB82" s="1366">
        <f t="shared" si="17"/>
        <v>140.86500000000001</v>
      </c>
      <c r="BC82" s="1366">
        <f t="shared" si="17"/>
        <v>140.32900000000001</v>
      </c>
      <c r="BD82" s="1366">
        <f t="shared" si="17"/>
        <v>141.85300000000001</v>
      </c>
      <c r="BE82" s="1366">
        <f t="shared" si="17"/>
        <v>155.11699999999999</v>
      </c>
      <c r="BF82" s="1366"/>
      <c r="BG82" s="1366">
        <f t="shared" ref="BG82:BS83" si="18">P49/1000</f>
        <v>51.404000000000003</v>
      </c>
      <c r="BH82" s="1366">
        <f t="shared" si="18"/>
        <v>72.257999999999996</v>
      </c>
      <c r="BI82" s="1366">
        <f t="shared" si="18"/>
        <v>84.061000000000007</v>
      </c>
      <c r="BJ82" s="1366">
        <f t="shared" si="18"/>
        <v>95.667000000000002</v>
      </c>
      <c r="BK82" s="1366">
        <f t="shared" si="18"/>
        <v>97.293999999999997</v>
      </c>
      <c r="BL82" s="1366">
        <f t="shared" si="18"/>
        <v>76.317999999999998</v>
      </c>
      <c r="BM82" s="1366">
        <f t="shared" si="18"/>
        <v>82.4</v>
      </c>
      <c r="BN82" s="1366">
        <f t="shared" si="18"/>
        <v>90.846999999999994</v>
      </c>
      <c r="BO82" s="1366">
        <f t="shared" si="18"/>
        <v>89.227000000000004</v>
      </c>
      <c r="BP82" s="1366">
        <f t="shared" si="18"/>
        <v>94.852000000000004</v>
      </c>
      <c r="BQ82" s="1366">
        <f t="shared" si="18"/>
        <v>103.881</v>
      </c>
      <c r="BR82" s="1366">
        <f t="shared" si="18"/>
        <v>110.351</v>
      </c>
      <c r="BS82" s="1366">
        <f t="shared" si="18"/>
        <v>99.201999999999998</v>
      </c>
      <c r="BT82" s="1366"/>
      <c r="BU82" s="1366">
        <f t="shared" ref="BU82:CG83" si="19">P51/1000</f>
        <v>79.766999999999996</v>
      </c>
      <c r="BV82" s="1366">
        <f t="shared" si="19"/>
        <v>112.34699999999999</v>
      </c>
      <c r="BW82" s="1366">
        <f t="shared" si="19"/>
        <v>143.84700000000001</v>
      </c>
      <c r="BX82" s="1366">
        <f t="shared" si="19"/>
        <v>143.535</v>
      </c>
      <c r="BY82" s="1366">
        <f t="shared" si="19"/>
        <v>162.68</v>
      </c>
      <c r="BZ82" s="1366">
        <f t="shared" si="19"/>
        <v>263.43599999999998</v>
      </c>
      <c r="CA82" s="1366">
        <f t="shared" si="19"/>
        <v>302.13600000000002</v>
      </c>
      <c r="CB82" s="1366">
        <f t="shared" si="19"/>
        <v>326.97000000000003</v>
      </c>
      <c r="CC82" s="1366">
        <f t="shared" si="19"/>
        <v>345.959</v>
      </c>
      <c r="CD82" s="1366">
        <f t="shared" si="19"/>
        <v>360.91899999999998</v>
      </c>
      <c r="CE82" s="1366">
        <f t="shared" si="19"/>
        <v>440.69099999999997</v>
      </c>
      <c r="CF82" s="1366">
        <f t="shared" si="19"/>
        <v>585.91</v>
      </c>
      <c r="CG82" s="1366">
        <f t="shared" si="19"/>
        <v>695.59100000000001</v>
      </c>
      <c r="CH82" s="1366"/>
      <c r="CI82" s="1366">
        <f t="shared" ref="CI82:CU83" si="20">P53/1000</f>
        <v>107.792</v>
      </c>
      <c r="CJ82" s="1366">
        <f t="shared" si="20"/>
        <v>108.626</v>
      </c>
      <c r="CK82" s="1366">
        <f t="shared" si="20"/>
        <v>121.026</v>
      </c>
      <c r="CL82" s="1366">
        <f t="shared" si="20"/>
        <v>133.59299999999999</v>
      </c>
      <c r="CM82" s="1366">
        <f t="shared" si="20"/>
        <v>144.62100000000001</v>
      </c>
      <c r="CN82" s="1366">
        <f t="shared" si="20"/>
        <v>140.96899999999999</v>
      </c>
      <c r="CO82" s="1366">
        <f t="shared" si="20"/>
        <v>143.72300000000001</v>
      </c>
      <c r="CP82" s="1366">
        <f t="shared" si="20"/>
        <v>150.94900000000001</v>
      </c>
      <c r="CQ82" s="1366">
        <f t="shared" si="20"/>
        <v>144.41300000000001</v>
      </c>
      <c r="CR82" s="1366">
        <f t="shared" si="20"/>
        <v>167.11500000000001</v>
      </c>
      <c r="CS82" s="1366">
        <f t="shared" si="20"/>
        <v>164.55500000000001</v>
      </c>
      <c r="CT82" s="1366">
        <f t="shared" si="20"/>
        <v>149.69999999999999</v>
      </c>
      <c r="CU82" s="1367">
        <f t="shared" si="20"/>
        <v>141.93799999999999</v>
      </c>
    </row>
    <row r="83" spans="1:99" s="1086" customFormat="1">
      <c r="AE83" s="1365">
        <f t="shared" si="16"/>
        <v>27.405999999999999</v>
      </c>
      <c r="AF83" s="1366">
        <f t="shared" si="16"/>
        <v>29.53</v>
      </c>
      <c r="AG83" s="1366">
        <f t="shared" si="16"/>
        <v>33.052999999999997</v>
      </c>
      <c r="AH83" s="1366">
        <f t="shared" si="16"/>
        <v>33.103999999999999</v>
      </c>
      <c r="AI83" s="1366">
        <f t="shared" si="16"/>
        <v>31.571000000000002</v>
      </c>
      <c r="AJ83" s="1366">
        <f t="shared" si="16"/>
        <v>31.861000000000001</v>
      </c>
      <c r="AK83" s="1366">
        <f t="shared" si="16"/>
        <v>47.213000000000001</v>
      </c>
      <c r="AL83" s="1366">
        <f t="shared" si="16"/>
        <v>54.954999999999998</v>
      </c>
      <c r="AM83" s="1366">
        <f t="shared" si="16"/>
        <v>69.718999999999994</v>
      </c>
      <c r="AN83" s="1366">
        <f t="shared" si="16"/>
        <v>77.213999999999999</v>
      </c>
      <c r="AO83" s="1366">
        <f t="shared" si="16"/>
        <v>75.058999999999997</v>
      </c>
      <c r="AP83" s="1366">
        <f t="shared" si="16"/>
        <v>61.085000000000001</v>
      </c>
      <c r="AQ83" s="1366">
        <f t="shared" si="16"/>
        <v>45.128</v>
      </c>
      <c r="AR83" s="1366"/>
      <c r="AS83" s="1366">
        <f t="shared" si="17"/>
        <v>35.456000000000003</v>
      </c>
      <c r="AT83" s="1366">
        <f t="shared" si="17"/>
        <v>40.728999999999999</v>
      </c>
      <c r="AU83" s="1366">
        <f t="shared" si="17"/>
        <v>49.874000000000002</v>
      </c>
      <c r="AV83" s="1366">
        <f t="shared" si="17"/>
        <v>51.508000000000003</v>
      </c>
      <c r="AW83" s="1366">
        <f t="shared" si="17"/>
        <v>49.392000000000003</v>
      </c>
      <c r="AX83" s="1366">
        <f t="shared" si="17"/>
        <v>42.609000000000002</v>
      </c>
      <c r="AY83" s="1366">
        <f t="shared" si="17"/>
        <v>42.444000000000003</v>
      </c>
      <c r="AZ83" s="1366">
        <f t="shared" si="17"/>
        <v>42.732999999999997</v>
      </c>
      <c r="BA83" s="1366">
        <f t="shared" si="17"/>
        <v>42.085000000000001</v>
      </c>
      <c r="BB83" s="1366">
        <f t="shared" si="17"/>
        <v>39.045000000000002</v>
      </c>
      <c r="BC83" s="1366">
        <f t="shared" si="17"/>
        <v>39.054000000000002</v>
      </c>
      <c r="BD83" s="1366">
        <f t="shared" si="17"/>
        <v>42.518999999999998</v>
      </c>
      <c r="BE83" s="1366">
        <f t="shared" si="17"/>
        <v>46.302999999999997</v>
      </c>
      <c r="BF83" s="1366"/>
      <c r="BG83" s="1366">
        <f t="shared" si="18"/>
        <v>17.439</v>
      </c>
      <c r="BH83" s="1366">
        <f t="shared" si="18"/>
        <v>22.462</v>
      </c>
      <c r="BI83" s="1366">
        <f t="shared" si="18"/>
        <v>29.405999999999999</v>
      </c>
      <c r="BJ83" s="1366">
        <f t="shared" si="18"/>
        <v>31.663</v>
      </c>
      <c r="BK83" s="1366">
        <f t="shared" si="18"/>
        <v>32.491999999999997</v>
      </c>
      <c r="BL83" s="1366">
        <f t="shared" si="18"/>
        <v>25.555</v>
      </c>
      <c r="BM83" s="1366">
        <f t="shared" si="18"/>
        <v>26.475000000000001</v>
      </c>
      <c r="BN83" s="1366">
        <f t="shared" si="18"/>
        <v>29.815000000000001</v>
      </c>
      <c r="BO83" s="1366">
        <f t="shared" si="18"/>
        <v>29.785</v>
      </c>
      <c r="BP83" s="1366">
        <f t="shared" si="18"/>
        <v>30.809000000000001</v>
      </c>
      <c r="BQ83" s="1366">
        <f t="shared" si="18"/>
        <v>30.885000000000002</v>
      </c>
      <c r="BR83" s="1366">
        <f t="shared" si="18"/>
        <v>35.530999999999999</v>
      </c>
      <c r="BS83" s="1366">
        <f t="shared" si="18"/>
        <v>35.978000000000002</v>
      </c>
      <c r="BT83" s="1366"/>
      <c r="BU83" s="1366">
        <f t="shared" si="19"/>
        <v>55.343000000000004</v>
      </c>
      <c r="BV83" s="1366">
        <f t="shared" si="19"/>
        <v>59.765999999999998</v>
      </c>
      <c r="BW83" s="1366">
        <f t="shared" si="19"/>
        <v>73.257999999999996</v>
      </c>
      <c r="BX83" s="1366">
        <f t="shared" si="19"/>
        <v>64.153000000000006</v>
      </c>
      <c r="BY83" s="1366">
        <f t="shared" si="19"/>
        <v>70.548000000000002</v>
      </c>
      <c r="BZ83" s="1366">
        <f t="shared" si="19"/>
        <v>95.88</v>
      </c>
      <c r="CA83" s="1366">
        <f t="shared" si="19"/>
        <v>102.072</v>
      </c>
      <c r="CB83" s="1366">
        <f t="shared" si="19"/>
        <v>93.174000000000007</v>
      </c>
      <c r="CC83" s="1366">
        <f t="shared" si="19"/>
        <v>86.188000000000002</v>
      </c>
      <c r="CD83" s="1366">
        <f t="shared" si="19"/>
        <v>91.885000000000005</v>
      </c>
      <c r="CE83" s="1366">
        <f t="shared" si="19"/>
        <v>89.436000000000007</v>
      </c>
      <c r="CF83" s="1366">
        <f t="shared" si="19"/>
        <v>110.036</v>
      </c>
      <c r="CG83" s="1366">
        <f t="shared" si="19"/>
        <v>102.756</v>
      </c>
      <c r="CH83" s="1366"/>
      <c r="CI83" s="1366">
        <f t="shared" si="20"/>
        <v>111.822</v>
      </c>
      <c r="CJ83" s="1366">
        <f t="shared" si="20"/>
        <v>115.879</v>
      </c>
      <c r="CK83" s="1366">
        <f t="shared" si="20"/>
        <v>132.12899999999999</v>
      </c>
      <c r="CL83" s="1366">
        <f t="shared" si="20"/>
        <v>144.24199999999999</v>
      </c>
      <c r="CM83" s="1366">
        <f t="shared" si="20"/>
        <v>156.05600000000001</v>
      </c>
      <c r="CN83" s="1366">
        <f t="shared" si="20"/>
        <v>157.43799999999999</v>
      </c>
      <c r="CO83" s="1366">
        <f t="shared" si="20"/>
        <v>159.32599999999999</v>
      </c>
      <c r="CP83" s="1366">
        <f t="shared" si="20"/>
        <v>167.88</v>
      </c>
      <c r="CQ83" s="1366">
        <f t="shared" si="20"/>
        <v>163.346</v>
      </c>
      <c r="CR83" s="1366">
        <f t="shared" si="20"/>
        <v>187.315</v>
      </c>
      <c r="CS83" s="1366">
        <f t="shared" si="20"/>
        <v>187.43799999999999</v>
      </c>
      <c r="CT83" s="1366">
        <f t="shared" si="20"/>
        <v>178.07499999999999</v>
      </c>
      <c r="CU83" s="1367">
        <f t="shared" si="20"/>
        <v>181.48</v>
      </c>
    </row>
    <row r="84" spans="1:99" s="1086" customFormat="1">
      <c r="AE84" s="1365">
        <f>AE82+AE83</f>
        <v>58.108000000000004</v>
      </c>
      <c r="AF84" s="1366">
        <f t="shared" ref="AF84:AP84" si="21">AF82+AF83</f>
        <v>62.112000000000002</v>
      </c>
      <c r="AG84" s="1366">
        <f t="shared" si="21"/>
        <v>65.686999999999998</v>
      </c>
      <c r="AH84" s="1366">
        <f t="shared" si="21"/>
        <v>66.711999999999989</v>
      </c>
      <c r="AI84" s="1366">
        <f t="shared" si="21"/>
        <v>64.613</v>
      </c>
      <c r="AJ84" s="1366">
        <f t="shared" si="21"/>
        <v>68.421000000000006</v>
      </c>
      <c r="AK84" s="1366">
        <f t="shared" si="21"/>
        <v>95.94</v>
      </c>
      <c r="AL84" s="1366">
        <f t="shared" si="21"/>
        <v>105.63499999999999</v>
      </c>
      <c r="AM84" s="1366">
        <f t="shared" si="21"/>
        <v>127.625</v>
      </c>
      <c r="AN84" s="1366">
        <f t="shared" si="21"/>
        <v>137.78399999999999</v>
      </c>
      <c r="AO84" s="1366">
        <f t="shared" si="21"/>
        <v>133.715</v>
      </c>
      <c r="AP84" s="1366">
        <f t="shared" si="21"/>
        <v>108.79900000000001</v>
      </c>
      <c r="AQ84" s="1366">
        <f t="shared" ref="AQ84" si="22">AQ82+AQ83</f>
        <v>81.753999999999991</v>
      </c>
      <c r="AR84" s="1366"/>
      <c r="AS84" s="1366">
        <f>AS82+AS83</f>
        <v>222.69299999999998</v>
      </c>
      <c r="AT84" s="1366">
        <f t="shared" ref="AT84" si="23">AT82+AT83</f>
        <v>238.32299999999998</v>
      </c>
      <c r="AU84" s="1366">
        <f t="shared" ref="AU84" si="24">AU82+AU83</f>
        <v>274.791</v>
      </c>
      <c r="AV84" s="1366">
        <f t="shared" ref="AV84" si="25">AV82+AV83</f>
        <v>277.07900000000001</v>
      </c>
      <c r="AW84" s="1366">
        <f t="shared" ref="AW84" si="26">AW82+AW83</f>
        <v>227.142</v>
      </c>
      <c r="AX84" s="1366">
        <f t="shared" ref="AX84" si="27">AX82+AX83</f>
        <v>189.358</v>
      </c>
      <c r="AY84" s="1366">
        <f t="shared" ref="AY84" si="28">AY82+AY83</f>
        <v>203.08699999999999</v>
      </c>
      <c r="AZ84" s="1366">
        <f t="shared" ref="AZ84" si="29">AZ82+AZ83</f>
        <v>199.577</v>
      </c>
      <c r="BA84" s="1366">
        <f t="shared" ref="BA84" si="30">BA82+BA83</f>
        <v>194.52500000000001</v>
      </c>
      <c r="BB84" s="1366">
        <f t="shared" ref="BB84" si="31">BB82+BB83</f>
        <v>179.91000000000003</v>
      </c>
      <c r="BC84" s="1366">
        <f t="shared" ref="BC84" si="32">BC82+BC83</f>
        <v>179.38300000000001</v>
      </c>
      <c r="BD84" s="1366">
        <f t="shared" ref="BD84:BE84" si="33">BD82+BD83</f>
        <v>184.37200000000001</v>
      </c>
      <c r="BE84" s="1366">
        <f t="shared" si="33"/>
        <v>201.42</v>
      </c>
      <c r="BF84" s="1366"/>
      <c r="BG84" s="1366">
        <f>BG82+BG83</f>
        <v>68.843000000000004</v>
      </c>
      <c r="BH84" s="1366">
        <f t="shared" ref="BH84" si="34">BH82+BH83</f>
        <v>94.72</v>
      </c>
      <c r="BI84" s="1366">
        <f t="shared" ref="BI84" si="35">BI82+BI83</f>
        <v>113.46700000000001</v>
      </c>
      <c r="BJ84" s="1366">
        <f t="shared" ref="BJ84" si="36">BJ82+BJ83</f>
        <v>127.33</v>
      </c>
      <c r="BK84" s="1366">
        <f t="shared" ref="BK84" si="37">BK82+BK83</f>
        <v>129.786</v>
      </c>
      <c r="BL84" s="1366">
        <f t="shared" ref="BL84" si="38">BL82+BL83</f>
        <v>101.87299999999999</v>
      </c>
      <c r="BM84" s="1366">
        <f t="shared" ref="BM84" si="39">BM82+BM83</f>
        <v>108.875</v>
      </c>
      <c r="BN84" s="1366">
        <f t="shared" ref="BN84" si="40">BN82+BN83</f>
        <v>120.66199999999999</v>
      </c>
      <c r="BO84" s="1366">
        <f t="shared" ref="BO84" si="41">BO82+BO83</f>
        <v>119.012</v>
      </c>
      <c r="BP84" s="1366">
        <f t="shared" ref="BP84" si="42">BP82+BP83</f>
        <v>125.661</v>
      </c>
      <c r="BQ84" s="1366">
        <f t="shared" ref="BQ84" si="43">BQ82+BQ83</f>
        <v>134.76599999999999</v>
      </c>
      <c r="BR84" s="1366">
        <f t="shared" ref="BR84:BS84" si="44">BR82+BR83</f>
        <v>145.88200000000001</v>
      </c>
      <c r="BS84" s="1366">
        <f t="shared" si="44"/>
        <v>135.18</v>
      </c>
      <c r="BT84" s="1366"/>
      <c r="BU84" s="1366">
        <f>BU82+BU83</f>
        <v>135.11000000000001</v>
      </c>
      <c r="BV84" s="1366">
        <f t="shared" ref="BV84" si="45">BV82+BV83</f>
        <v>172.113</v>
      </c>
      <c r="BW84" s="1366">
        <f t="shared" ref="BW84" si="46">BW82+BW83</f>
        <v>217.10500000000002</v>
      </c>
      <c r="BX84" s="1366">
        <f t="shared" ref="BX84" si="47">BX82+BX83</f>
        <v>207.68799999999999</v>
      </c>
      <c r="BY84" s="1366">
        <f t="shared" ref="BY84" si="48">BY82+BY83</f>
        <v>233.22800000000001</v>
      </c>
      <c r="BZ84" s="1366">
        <f t="shared" ref="BZ84" si="49">BZ82+BZ83</f>
        <v>359.31599999999997</v>
      </c>
      <c r="CA84" s="1366">
        <f t="shared" ref="CA84" si="50">CA82+CA83</f>
        <v>404.20800000000003</v>
      </c>
      <c r="CB84" s="1366">
        <f t="shared" ref="CB84" si="51">CB82+CB83</f>
        <v>420.14400000000001</v>
      </c>
      <c r="CC84" s="1366">
        <f t="shared" ref="CC84" si="52">CC82+CC83</f>
        <v>432.14699999999999</v>
      </c>
      <c r="CD84" s="1366">
        <f t="shared" ref="CD84" si="53">CD82+CD83</f>
        <v>452.80399999999997</v>
      </c>
      <c r="CE84" s="1366">
        <f t="shared" ref="CE84" si="54">CE82+CE83</f>
        <v>530.12699999999995</v>
      </c>
      <c r="CF84" s="1366">
        <f t="shared" ref="CF84:CG84" si="55">CF82+CF83</f>
        <v>695.94599999999991</v>
      </c>
      <c r="CG84" s="1366">
        <f t="shared" si="55"/>
        <v>798.34699999999998</v>
      </c>
      <c r="CH84" s="1366"/>
      <c r="CI84" s="1366">
        <f>CI82+CI83</f>
        <v>219.614</v>
      </c>
      <c r="CJ84" s="1366">
        <f t="shared" ref="CJ84" si="56">CJ82+CJ83</f>
        <v>224.505</v>
      </c>
      <c r="CK84" s="1366">
        <f t="shared" ref="CK84" si="57">CK82+CK83</f>
        <v>253.15499999999997</v>
      </c>
      <c r="CL84" s="1366">
        <f t="shared" ref="CL84" si="58">CL82+CL83</f>
        <v>277.83499999999998</v>
      </c>
      <c r="CM84" s="1366">
        <f t="shared" ref="CM84" si="59">CM82+CM83</f>
        <v>300.67700000000002</v>
      </c>
      <c r="CN84" s="1366">
        <f t="shared" ref="CN84" si="60">CN82+CN83</f>
        <v>298.40699999999998</v>
      </c>
      <c r="CO84" s="1366">
        <f t="shared" ref="CO84" si="61">CO82+CO83</f>
        <v>303.04899999999998</v>
      </c>
      <c r="CP84" s="1366">
        <f t="shared" ref="CP84" si="62">CP82+CP83</f>
        <v>318.82900000000001</v>
      </c>
      <c r="CQ84" s="1366">
        <f t="shared" ref="CQ84" si="63">CQ82+CQ83</f>
        <v>307.75900000000001</v>
      </c>
      <c r="CR84" s="1366">
        <f t="shared" ref="CR84" si="64">CR82+CR83</f>
        <v>354.43</v>
      </c>
      <c r="CS84" s="1366">
        <f t="shared" ref="CS84" si="65">CS82+CS83</f>
        <v>351.99299999999999</v>
      </c>
      <c r="CT84" s="1366">
        <f t="shared" ref="CT84:CU84" si="66">CT82+CT83</f>
        <v>327.77499999999998</v>
      </c>
      <c r="CU84" s="1367">
        <f t="shared" si="66"/>
        <v>323.41800000000001</v>
      </c>
    </row>
    <row r="85" spans="1:99" s="1086" customFormat="1">
      <c r="AE85" s="1362"/>
      <c r="AF85" s="1363"/>
      <c r="AG85" s="1363"/>
      <c r="AH85" s="1363"/>
      <c r="AI85" s="1363"/>
      <c r="AJ85" s="1363"/>
      <c r="AK85" s="1363"/>
      <c r="AL85" s="1363"/>
      <c r="AM85" s="1363"/>
      <c r="AN85" s="1363"/>
      <c r="AO85" s="1363"/>
      <c r="AP85" s="1363"/>
      <c r="AQ85" s="1363"/>
      <c r="AR85" s="1363"/>
      <c r="AS85" s="1363"/>
      <c r="AT85" s="1363"/>
      <c r="AU85" s="1363"/>
      <c r="AV85" s="1363"/>
      <c r="AW85" s="1363"/>
      <c r="AX85" s="1363"/>
      <c r="AY85" s="1363"/>
      <c r="AZ85" s="1363"/>
      <c r="BA85" s="1363"/>
      <c r="BB85" s="1363"/>
      <c r="BC85" s="1363"/>
      <c r="BD85" s="1363"/>
      <c r="BE85" s="1363"/>
      <c r="BF85" s="1363"/>
      <c r="BG85" s="1363"/>
      <c r="BH85" s="1363"/>
      <c r="BI85" s="1363"/>
      <c r="BJ85" s="1363"/>
      <c r="BK85" s="1363"/>
      <c r="BL85" s="1363"/>
      <c r="BM85" s="1363"/>
      <c r="BN85" s="1363"/>
      <c r="BO85" s="1363"/>
      <c r="BP85" s="1363"/>
      <c r="BQ85" s="1363"/>
      <c r="BR85" s="1363"/>
      <c r="BS85" s="1363"/>
      <c r="BT85" s="1363"/>
      <c r="BU85" s="1363"/>
      <c r="BV85" s="1363"/>
      <c r="BW85" s="1363"/>
      <c r="BX85" s="1363"/>
      <c r="BY85" s="1363"/>
      <c r="BZ85" s="1363"/>
      <c r="CA85" s="1363"/>
      <c r="CB85" s="1363"/>
      <c r="CC85" s="1363"/>
      <c r="CD85" s="1363"/>
      <c r="CE85" s="1363"/>
      <c r="CF85" s="1363"/>
      <c r="CG85" s="1363"/>
      <c r="CH85" s="1363"/>
      <c r="CI85" s="1363"/>
      <c r="CJ85" s="1363"/>
      <c r="CK85" s="1363"/>
      <c r="CL85" s="1363"/>
      <c r="CM85" s="1363"/>
      <c r="CN85" s="1363"/>
      <c r="CO85" s="1363"/>
      <c r="CP85" s="1363"/>
      <c r="CQ85" s="1363"/>
      <c r="CR85" s="1363"/>
      <c r="CS85" s="1363"/>
      <c r="CT85" s="1363"/>
      <c r="CU85" s="1364"/>
    </row>
    <row r="86" spans="1:99" s="1086" customFormat="1">
      <c r="AE86" s="1362" t="s">
        <v>36</v>
      </c>
      <c r="AF86" s="1363"/>
      <c r="AG86" s="1363"/>
      <c r="AH86" s="1363"/>
      <c r="AI86" s="1363"/>
      <c r="AJ86" s="1363"/>
      <c r="AK86" s="1363"/>
      <c r="AL86" s="1363"/>
      <c r="AM86" s="1363"/>
      <c r="AN86" s="1363"/>
      <c r="AO86" s="1363"/>
      <c r="AP86" s="1363"/>
      <c r="AQ86" s="1363"/>
      <c r="AR86" s="1363"/>
      <c r="AS86" s="1363" t="s">
        <v>38</v>
      </c>
      <c r="AT86" s="1363"/>
      <c r="AU86" s="1363"/>
      <c r="AV86" s="1363"/>
      <c r="AW86" s="1363"/>
      <c r="AX86" s="1363"/>
      <c r="AY86" s="1363"/>
      <c r="AZ86" s="1363"/>
      <c r="BA86" s="1363"/>
      <c r="BB86" s="1363"/>
      <c r="BC86" s="1363"/>
      <c r="BD86" s="1363"/>
      <c r="BE86" s="1363"/>
      <c r="BF86" s="1363"/>
      <c r="BG86" s="1363" t="s">
        <v>42</v>
      </c>
      <c r="BH86" s="1363"/>
      <c r="BI86" s="1363"/>
      <c r="BJ86" s="1363"/>
      <c r="BK86" s="1363"/>
      <c r="BL86" s="1363"/>
      <c r="BM86" s="1363"/>
      <c r="BN86" s="1363"/>
      <c r="BO86" s="1363"/>
      <c r="BP86" s="1363"/>
      <c r="BQ86" s="1363"/>
      <c r="BR86" s="1363"/>
      <c r="BS86" s="1363"/>
      <c r="BT86" s="1363"/>
      <c r="BU86" s="1363" t="s">
        <v>43</v>
      </c>
      <c r="BV86" s="1363"/>
      <c r="BW86" s="1363"/>
      <c r="BX86" s="1363"/>
      <c r="BY86" s="1363"/>
      <c r="BZ86" s="1363"/>
      <c r="CA86" s="1363"/>
      <c r="CB86" s="1363"/>
      <c r="CC86" s="1363"/>
      <c r="CD86" s="1363"/>
      <c r="CE86" s="1363"/>
      <c r="CF86" s="1363"/>
      <c r="CG86" s="1363"/>
      <c r="CH86" s="1363"/>
      <c r="CI86" s="1363" t="s">
        <v>44</v>
      </c>
      <c r="CJ86" s="1363"/>
      <c r="CK86" s="1363"/>
      <c r="CL86" s="1363"/>
      <c r="CM86" s="1363"/>
      <c r="CN86" s="1363"/>
      <c r="CO86" s="1363"/>
      <c r="CP86" s="1363"/>
      <c r="CQ86" s="1363"/>
      <c r="CR86" s="1363"/>
      <c r="CS86" s="1363"/>
      <c r="CT86" s="1363"/>
      <c r="CU86" s="1364"/>
    </row>
    <row r="87" spans="1:99" s="1086" customFormat="1">
      <c r="AE87" s="1362">
        <f>AE81</f>
        <v>2010</v>
      </c>
      <c r="AF87" s="1363">
        <f t="shared" ref="AF87:AP87" si="67">AF81</f>
        <v>2011</v>
      </c>
      <c r="AG87" s="1363">
        <f t="shared" si="67"/>
        <v>2012</v>
      </c>
      <c r="AH87" s="1363">
        <f t="shared" si="67"/>
        <v>2013</v>
      </c>
      <c r="AI87" s="1363">
        <f t="shared" si="67"/>
        <v>2014</v>
      </c>
      <c r="AJ87" s="1363">
        <f t="shared" si="67"/>
        <v>2015</v>
      </c>
      <c r="AK87" s="1363">
        <f t="shared" si="67"/>
        <v>2016</v>
      </c>
      <c r="AL87" s="1363">
        <f t="shared" si="67"/>
        <v>2017</v>
      </c>
      <c r="AM87" s="1363">
        <f t="shared" si="67"/>
        <v>2018</v>
      </c>
      <c r="AN87" s="1363">
        <f t="shared" si="67"/>
        <v>2019</v>
      </c>
      <c r="AO87" s="1363">
        <f t="shared" si="67"/>
        <v>2020</v>
      </c>
      <c r="AP87" s="1363">
        <f t="shared" si="67"/>
        <v>2021</v>
      </c>
      <c r="AQ87" s="1363">
        <v>2022</v>
      </c>
      <c r="AR87" s="1363"/>
      <c r="AS87" s="1363">
        <f>AE87</f>
        <v>2010</v>
      </c>
      <c r="AT87" s="1363">
        <f t="shared" ref="AT87" si="68">AF87</f>
        <v>2011</v>
      </c>
      <c r="AU87" s="1363">
        <f t="shared" ref="AU87" si="69">AG87</f>
        <v>2012</v>
      </c>
      <c r="AV87" s="1363">
        <f t="shared" ref="AV87" si="70">AH87</f>
        <v>2013</v>
      </c>
      <c r="AW87" s="1363">
        <f t="shared" ref="AW87" si="71">AI87</f>
        <v>2014</v>
      </c>
      <c r="AX87" s="1363">
        <f t="shared" ref="AX87" si="72">AJ87</f>
        <v>2015</v>
      </c>
      <c r="AY87" s="1363">
        <f t="shared" ref="AY87" si="73">AK87</f>
        <v>2016</v>
      </c>
      <c r="AZ87" s="1363">
        <f t="shared" ref="AZ87" si="74">AL87</f>
        <v>2017</v>
      </c>
      <c r="BA87" s="1363">
        <f t="shared" ref="BA87" si="75">AM87</f>
        <v>2018</v>
      </c>
      <c r="BB87" s="1363">
        <f t="shared" ref="BB87" si="76">AN87</f>
        <v>2019</v>
      </c>
      <c r="BC87" s="1363">
        <f t="shared" ref="BC87" si="77">AO87</f>
        <v>2020</v>
      </c>
      <c r="BD87" s="1363">
        <f t="shared" ref="BD87" si="78">AP87</f>
        <v>2021</v>
      </c>
      <c r="BE87" s="1363">
        <v>2022</v>
      </c>
      <c r="BF87" s="1363"/>
      <c r="BG87" s="1363">
        <f>AS87</f>
        <v>2010</v>
      </c>
      <c r="BH87" s="1363">
        <f t="shared" ref="BH87" si="79">AT87</f>
        <v>2011</v>
      </c>
      <c r="BI87" s="1363">
        <f t="shared" ref="BI87" si="80">AU87</f>
        <v>2012</v>
      </c>
      <c r="BJ87" s="1363">
        <f t="shared" ref="BJ87" si="81">AV87</f>
        <v>2013</v>
      </c>
      <c r="BK87" s="1363">
        <f t="shared" ref="BK87" si="82">AW87</f>
        <v>2014</v>
      </c>
      <c r="BL87" s="1363">
        <f t="shared" ref="BL87" si="83">AX87</f>
        <v>2015</v>
      </c>
      <c r="BM87" s="1363">
        <f t="shared" ref="BM87" si="84">AY87</f>
        <v>2016</v>
      </c>
      <c r="BN87" s="1363">
        <f t="shared" ref="BN87" si="85">AZ87</f>
        <v>2017</v>
      </c>
      <c r="BO87" s="1363">
        <f t="shared" ref="BO87" si="86">BA87</f>
        <v>2018</v>
      </c>
      <c r="BP87" s="1363">
        <f t="shared" ref="BP87" si="87">BB87</f>
        <v>2019</v>
      </c>
      <c r="BQ87" s="1363">
        <f t="shared" ref="BQ87" si="88">BC87</f>
        <v>2020</v>
      </c>
      <c r="BR87" s="1363">
        <f t="shared" ref="BR87" si="89">BD87</f>
        <v>2021</v>
      </c>
      <c r="BS87" s="1363">
        <v>2022</v>
      </c>
      <c r="BT87" s="1363"/>
      <c r="BU87" s="1363">
        <f>BG87</f>
        <v>2010</v>
      </c>
      <c r="BV87" s="1363">
        <f t="shared" ref="BV87" si="90">BH87</f>
        <v>2011</v>
      </c>
      <c r="BW87" s="1363">
        <f t="shared" ref="BW87" si="91">BI87</f>
        <v>2012</v>
      </c>
      <c r="BX87" s="1363">
        <f t="shared" ref="BX87" si="92">BJ87</f>
        <v>2013</v>
      </c>
      <c r="BY87" s="1363">
        <f t="shared" ref="BY87" si="93">BK87</f>
        <v>2014</v>
      </c>
      <c r="BZ87" s="1363">
        <f t="shared" ref="BZ87" si="94">BL87</f>
        <v>2015</v>
      </c>
      <c r="CA87" s="1363">
        <f t="shared" ref="CA87" si="95">BM87</f>
        <v>2016</v>
      </c>
      <c r="CB87" s="1363">
        <f t="shared" ref="CB87" si="96">BN87</f>
        <v>2017</v>
      </c>
      <c r="CC87" s="1363">
        <f t="shared" ref="CC87" si="97">BO87</f>
        <v>2018</v>
      </c>
      <c r="CD87" s="1363">
        <f t="shared" ref="CD87" si="98">BP87</f>
        <v>2019</v>
      </c>
      <c r="CE87" s="1363">
        <f t="shared" ref="CE87" si="99">BQ87</f>
        <v>2020</v>
      </c>
      <c r="CF87" s="1363">
        <f t="shared" ref="CF87:CG87" si="100">BR87</f>
        <v>2021</v>
      </c>
      <c r="CG87" s="1363">
        <f t="shared" si="100"/>
        <v>2022</v>
      </c>
      <c r="CH87" s="1363"/>
      <c r="CI87" s="1363">
        <f t="shared" ref="CI87:CT87" si="101">BU87</f>
        <v>2010</v>
      </c>
      <c r="CJ87" s="1363">
        <f t="shared" si="101"/>
        <v>2011</v>
      </c>
      <c r="CK87" s="1363">
        <f t="shared" si="101"/>
        <v>2012</v>
      </c>
      <c r="CL87" s="1363">
        <f t="shared" si="101"/>
        <v>2013</v>
      </c>
      <c r="CM87" s="1363">
        <f t="shared" si="101"/>
        <v>2014</v>
      </c>
      <c r="CN87" s="1363">
        <f t="shared" si="101"/>
        <v>2015</v>
      </c>
      <c r="CO87" s="1363">
        <f t="shared" si="101"/>
        <v>2016</v>
      </c>
      <c r="CP87" s="1363">
        <f t="shared" si="101"/>
        <v>2017</v>
      </c>
      <c r="CQ87" s="1363">
        <f t="shared" si="101"/>
        <v>2018</v>
      </c>
      <c r="CR87" s="1363">
        <f t="shared" si="101"/>
        <v>2019</v>
      </c>
      <c r="CS87" s="1363">
        <f t="shared" si="101"/>
        <v>2020</v>
      </c>
      <c r="CT87" s="1363">
        <f t="shared" si="101"/>
        <v>2021</v>
      </c>
      <c r="CU87" s="1364">
        <v>2022</v>
      </c>
    </row>
    <row r="88" spans="1:99" s="1086" customFormat="1">
      <c r="AE88" s="1368">
        <f t="shared" ref="AE88:AQ89" si="102">P7/P$13</f>
        <v>0.52836098299717771</v>
      </c>
      <c r="AF88" s="1369">
        <f t="shared" si="102"/>
        <v>0.52456852138073162</v>
      </c>
      <c r="AG88" s="1369">
        <f t="shared" si="102"/>
        <v>0.49681063224077826</v>
      </c>
      <c r="AH88" s="1369">
        <f t="shared" si="102"/>
        <v>0.50377743134668429</v>
      </c>
      <c r="AI88" s="1369">
        <f t="shared" si="102"/>
        <v>0.51138315818798075</v>
      </c>
      <c r="AJ88" s="1369">
        <f t="shared" si="102"/>
        <v>0.53433887256836354</v>
      </c>
      <c r="AK88" s="1369">
        <f t="shared" si="102"/>
        <v>0.5078903481342506</v>
      </c>
      <c r="AL88" s="1369">
        <f t="shared" si="102"/>
        <v>0.47976522932740095</v>
      </c>
      <c r="AM88" s="1369">
        <f t="shared" si="102"/>
        <v>0.45371988246816847</v>
      </c>
      <c r="AN88" s="1369">
        <f t="shared" si="102"/>
        <v>0.43960111478836439</v>
      </c>
      <c r="AO88" s="1369">
        <f t="shared" si="102"/>
        <v>0.43866432337434097</v>
      </c>
      <c r="AP88" s="1369">
        <f t="shared" si="102"/>
        <v>0.43855182492486144</v>
      </c>
      <c r="AQ88" s="1369">
        <f t="shared" si="102"/>
        <v>0.44800254421801994</v>
      </c>
      <c r="AR88" s="1363"/>
      <c r="AS88" s="1369">
        <f t="shared" ref="AS88:BE89" si="103">P14/P$20</f>
        <v>7.016834835401202E-2</v>
      </c>
      <c r="AT88" s="1369">
        <f t="shared" si="103"/>
        <v>7.2556991981470531E-2</v>
      </c>
      <c r="AU88" s="1369">
        <f t="shared" si="103"/>
        <v>7.3979861058040469E-2</v>
      </c>
      <c r="AV88" s="1369">
        <f t="shared" si="103"/>
        <v>7.4632144623013652E-2</v>
      </c>
      <c r="AW88" s="1369">
        <f t="shared" si="103"/>
        <v>8.7685236548062442E-2</v>
      </c>
      <c r="AX88" s="1369">
        <f t="shared" si="103"/>
        <v>8.6191235648876735E-2</v>
      </c>
      <c r="AY88" s="1369">
        <f t="shared" si="103"/>
        <v>7.9207433267515892E-2</v>
      </c>
      <c r="AZ88" s="1369">
        <f t="shared" si="103"/>
        <v>7.8085150092445516E-2</v>
      </c>
      <c r="BA88" s="1369">
        <f t="shared" si="103"/>
        <v>7.53270787816476E-2</v>
      </c>
      <c r="BB88" s="1369">
        <f t="shared" si="103"/>
        <v>7.4954143738535928E-2</v>
      </c>
      <c r="BC88" s="1369">
        <f t="shared" si="103"/>
        <v>7.3953496150694326E-2</v>
      </c>
      <c r="BD88" s="1369">
        <f t="shared" si="103"/>
        <v>7.7544312585425115E-2</v>
      </c>
      <c r="BE88" s="1369">
        <f t="shared" si="103"/>
        <v>7.3508092542945089E-2</v>
      </c>
      <c r="BF88" s="1363"/>
      <c r="BG88" s="1369">
        <f t="shared" ref="BG88:BS89" si="104">P21/P$27</f>
        <v>5.1319669392676091E-2</v>
      </c>
      <c r="BH88" s="1369">
        <f t="shared" si="104"/>
        <v>4.586148648648649E-2</v>
      </c>
      <c r="BI88" s="1369">
        <f t="shared" si="104"/>
        <v>5.5275983325548395E-2</v>
      </c>
      <c r="BJ88" s="1369">
        <f t="shared" si="104"/>
        <v>5.744129427471923E-2</v>
      </c>
      <c r="BK88" s="1369">
        <f t="shared" si="104"/>
        <v>5.9644337601898509E-2</v>
      </c>
      <c r="BL88" s="1369">
        <f t="shared" si="104"/>
        <v>6.3137435826961019E-2</v>
      </c>
      <c r="BM88" s="1369">
        <f t="shared" si="104"/>
        <v>6.0078071182548792E-2</v>
      </c>
      <c r="BN88" s="1369">
        <f t="shared" si="104"/>
        <v>6.1809020238351761E-2</v>
      </c>
      <c r="BO88" s="1369">
        <f t="shared" si="104"/>
        <v>6.2741572278425708E-2</v>
      </c>
      <c r="BP88" s="1369">
        <f t="shared" si="104"/>
        <v>6.1323720167752921E-2</v>
      </c>
      <c r="BQ88" s="1369">
        <f t="shared" si="104"/>
        <v>5.5488773132689254E-2</v>
      </c>
      <c r="BR88" s="1369">
        <f t="shared" si="104"/>
        <v>5.7183202862587573E-2</v>
      </c>
      <c r="BS88" s="1369">
        <f t="shared" si="104"/>
        <v>6.3663263796419595E-2</v>
      </c>
      <c r="BT88" s="1363"/>
      <c r="BU88" s="1369">
        <f t="shared" ref="BU88:CG89" si="105">P28/P$34</f>
        <v>0.10086596106875879</v>
      </c>
      <c r="BV88" s="1369">
        <f t="shared" si="105"/>
        <v>8.9557441913161701E-2</v>
      </c>
      <c r="BW88" s="1369">
        <f t="shared" si="105"/>
        <v>9.1927869003477575E-2</v>
      </c>
      <c r="BX88" s="1369">
        <f t="shared" si="105"/>
        <v>8.8204422017641851E-2</v>
      </c>
      <c r="BY88" s="1369">
        <f t="shared" si="105"/>
        <v>8.3716363386900375E-2</v>
      </c>
      <c r="BZ88" s="1369">
        <f t="shared" si="105"/>
        <v>7.4380211290340531E-2</v>
      </c>
      <c r="CA88" s="1369">
        <f t="shared" si="105"/>
        <v>7.496387998258322E-2</v>
      </c>
      <c r="CB88" s="1369">
        <f t="shared" si="105"/>
        <v>6.4480273430062074E-2</v>
      </c>
      <c r="CC88" s="1369">
        <f t="shared" si="105"/>
        <v>5.3171721659527889E-2</v>
      </c>
      <c r="CD88" s="1369">
        <f t="shared" si="105"/>
        <v>5.4586531921096103E-2</v>
      </c>
      <c r="CE88" s="1369">
        <f t="shared" si="105"/>
        <v>4.5543803654595975E-2</v>
      </c>
      <c r="CF88" s="1369">
        <f t="shared" si="105"/>
        <v>4.3463142255289924E-2</v>
      </c>
      <c r="CG88" s="1369">
        <f t="shared" si="105"/>
        <v>3.5553462341563258E-2</v>
      </c>
      <c r="CH88" s="1369"/>
      <c r="CI88" s="1369">
        <f t="shared" ref="CI88:CU89" si="106">P35/P$41</f>
        <v>0.14786397952771682</v>
      </c>
      <c r="CJ88" s="1369">
        <f t="shared" si="106"/>
        <v>0.14598338567069777</v>
      </c>
      <c r="CK88" s="1369">
        <f t="shared" si="106"/>
        <v>0.15088779601429955</v>
      </c>
      <c r="CL88" s="1369">
        <f t="shared" si="106"/>
        <v>0.156387784116472</v>
      </c>
      <c r="CM88" s="1369">
        <f t="shared" si="106"/>
        <v>0.15875175021701027</v>
      </c>
      <c r="CN88" s="1369">
        <f t="shared" si="106"/>
        <v>0.15927575425509455</v>
      </c>
      <c r="CO88" s="1369">
        <f t="shared" si="106"/>
        <v>0.1580932456467436</v>
      </c>
      <c r="CP88" s="1369">
        <f t="shared" si="106"/>
        <v>0.15889395255764061</v>
      </c>
      <c r="CQ88" s="1369">
        <f t="shared" si="106"/>
        <v>0.15909526610107258</v>
      </c>
      <c r="CR88" s="1369">
        <f t="shared" si="106"/>
        <v>0.15697881104872613</v>
      </c>
      <c r="CS88" s="1369">
        <f t="shared" si="106"/>
        <v>0.15448318574517106</v>
      </c>
      <c r="CT88" s="1369">
        <f t="shared" si="106"/>
        <v>0.15438334223171382</v>
      </c>
      <c r="CU88" s="1370">
        <f t="shared" si="106"/>
        <v>0.15417200032156528</v>
      </c>
    </row>
    <row r="89" spans="1:99" s="1086" customFormat="1">
      <c r="AE89" s="1368">
        <f t="shared" si="102"/>
        <v>0.18207475734838577</v>
      </c>
      <c r="AF89" s="1369">
        <f t="shared" si="102"/>
        <v>0.1875482998454405</v>
      </c>
      <c r="AG89" s="1369">
        <f t="shared" si="102"/>
        <v>0.19565515246548024</v>
      </c>
      <c r="AH89" s="1369">
        <f t="shared" si="102"/>
        <v>0.1819013071111644</v>
      </c>
      <c r="AI89" s="1369">
        <f t="shared" si="102"/>
        <v>0.17210158946342066</v>
      </c>
      <c r="AJ89" s="1369">
        <f t="shared" si="102"/>
        <v>0.15470396515689627</v>
      </c>
      <c r="AK89" s="1369">
        <f t="shared" si="102"/>
        <v>0.16046487387950803</v>
      </c>
      <c r="AL89" s="1369">
        <f t="shared" si="102"/>
        <v>0.16717943863302884</v>
      </c>
      <c r="AM89" s="1369">
        <f t="shared" si="102"/>
        <v>0.16723212536728696</v>
      </c>
      <c r="AN89" s="1369">
        <f t="shared" si="102"/>
        <v>0.16274023108633803</v>
      </c>
      <c r="AO89" s="1369">
        <f t="shared" si="102"/>
        <v>0.15129192685936507</v>
      </c>
      <c r="AP89" s="1369">
        <f t="shared" si="102"/>
        <v>0.14149946231123448</v>
      </c>
      <c r="AQ89" s="1369">
        <f t="shared" si="102"/>
        <v>0.1337182278542946</v>
      </c>
      <c r="AR89" s="1363"/>
      <c r="AS89" s="1369">
        <f t="shared" si="103"/>
        <v>0.84078529634968324</v>
      </c>
      <c r="AT89" s="1369">
        <f t="shared" si="103"/>
        <v>0.8291016813316382</v>
      </c>
      <c r="AU89" s="1369">
        <f t="shared" si="103"/>
        <v>0.81850206156679073</v>
      </c>
      <c r="AV89" s="1369">
        <f t="shared" si="103"/>
        <v>0.81410355891280106</v>
      </c>
      <c r="AW89" s="1369">
        <f t="shared" si="103"/>
        <v>0.78255012283065217</v>
      </c>
      <c r="AX89" s="1369">
        <f t="shared" si="103"/>
        <v>0.77498178054267575</v>
      </c>
      <c r="AY89" s="1369">
        <f t="shared" si="103"/>
        <v>0.79100582508973982</v>
      </c>
      <c r="AZ89" s="1369">
        <f t="shared" si="103"/>
        <v>0.78588214072763896</v>
      </c>
      <c r="BA89" s="1369">
        <f t="shared" si="103"/>
        <v>0.78365248682688604</v>
      </c>
      <c r="BB89" s="1369">
        <f t="shared" si="103"/>
        <v>0.78297482074370517</v>
      </c>
      <c r="BC89" s="1369">
        <f t="shared" si="103"/>
        <v>0.78228706176170537</v>
      </c>
      <c r="BD89" s="1369">
        <f t="shared" si="103"/>
        <v>0.76938472219208986</v>
      </c>
      <c r="BE89" s="1369">
        <f t="shared" si="103"/>
        <v>0.77011716810644426</v>
      </c>
      <c r="BF89" s="1363"/>
      <c r="BG89" s="1369">
        <f t="shared" si="104"/>
        <v>0.12102900803277021</v>
      </c>
      <c r="BH89" s="1369">
        <f t="shared" si="104"/>
        <v>0.11700802364864865</v>
      </c>
      <c r="BI89" s="1369">
        <f t="shared" si="104"/>
        <v>0.11439449355319167</v>
      </c>
      <c r="BJ89" s="1369">
        <f t="shared" si="104"/>
        <v>0.10613366842063929</v>
      </c>
      <c r="BK89" s="1369">
        <f t="shared" si="104"/>
        <v>0.10400967746906446</v>
      </c>
      <c r="BL89" s="1369">
        <f t="shared" si="104"/>
        <v>9.4382221000657684E-2</v>
      </c>
      <c r="BM89" s="1369">
        <f t="shared" si="104"/>
        <v>9.1499425947187144E-2</v>
      </c>
      <c r="BN89" s="1369">
        <f t="shared" si="104"/>
        <v>9.1835043344217729E-2</v>
      </c>
      <c r="BO89" s="1369">
        <f t="shared" si="104"/>
        <v>9.44358552078782E-2</v>
      </c>
      <c r="BP89" s="1369">
        <f t="shared" si="104"/>
        <v>9.0330333198048715E-2</v>
      </c>
      <c r="BQ89" s="1369">
        <f t="shared" si="104"/>
        <v>8.027989255450188E-2</v>
      </c>
      <c r="BR89" s="1369">
        <f t="shared" si="104"/>
        <v>8.1607052275126477E-2</v>
      </c>
      <c r="BS89" s="1369">
        <f t="shared" si="104"/>
        <v>8.5937268826749513E-2</v>
      </c>
      <c r="BT89" s="1363"/>
      <c r="BU89" s="1369">
        <f t="shared" si="105"/>
        <v>0.17681888831322626</v>
      </c>
      <c r="BV89" s="1369">
        <f t="shared" si="105"/>
        <v>0.147501931870341</v>
      </c>
      <c r="BW89" s="1369">
        <f t="shared" si="105"/>
        <v>0.13287119135901984</v>
      </c>
      <c r="BX89" s="1369">
        <f t="shared" si="105"/>
        <v>0.10886040599360579</v>
      </c>
      <c r="BY89" s="1369">
        <f t="shared" si="105"/>
        <v>0.1136270087639563</v>
      </c>
      <c r="BZ89" s="1369">
        <f t="shared" si="105"/>
        <v>0.10135368310901824</v>
      </c>
      <c r="CA89" s="1369">
        <f t="shared" si="105"/>
        <v>8.6507441713177369E-2</v>
      </c>
      <c r="CB89" s="1369">
        <f t="shared" si="105"/>
        <v>7.3998438630564753E-2</v>
      </c>
      <c r="CC89" s="1369">
        <f t="shared" si="105"/>
        <v>6.5010285851805058E-2</v>
      </c>
      <c r="CD89" s="1369">
        <f t="shared" si="105"/>
        <v>6.7139424563387243E-2</v>
      </c>
      <c r="CE89" s="1369">
        <f t="shared" si="105"/>
        <v>5.4618987525630651E-2</v>
      </c>
      <c r="CF89" s="1369">
        <f t="shared" si="105"/>
        <v>5.0080034945240007E-2</v>
      </c>
      <c r="CG89" s="1369">
        <f t="shared" si="105"/>
        <v>4.1712438325690458E-2</v>
      </c>
      <c r="CH89" s="1369"/>
      <c r="CI89" s="1369">
        <f t="shared" si="106"/>
        <v>0.20405802908739881</v>
      </c>
      <c r="CJ89" s="1369">
        <f t="shared" si="106"/>
        <v>0.2055143538005835</v>
      </c>
      <c r="CK89" s="1369">
        <f t="shared" si="106"/>
        <v>0.20018170685943396</v>
      </c>
      <c r="CL89" s="1369">
        <f t="shared" si="106"/>
        <v>0.18686990479961127</v>
      </c>
      <c r="CM89" s="1369">
        <f t="shared" si="106"/>
        <v>0.17908918873076424</v>
      </c>
      <c r="CN89" s="1369">
        <f t="shared" si="106"/>
        <v>0.17562925802678891</v>
      </c>
      <c r="CO89" s="1369">
        <f t="shared" si="106"/>
        <v>0.16432986084758569</v>
      </c>
      <c r="CP89" s="1369">
        <f t="shared" si="106"/>
        <v>0.15581079512842308</v>
      </c>
      <c r="CQ89" s="1369">
        <f t="shared" si="106"/>
        <v>0.15455599998700281</v>
      </c>
      <c r="CR89" s="1369">
        <f t="shared" si="106"/>
        <v>0.1510650904268826</v>
      </c>
      <c r="CS89" s="1369">
        <f t="shared" si="106"/>
        <v>0.14664780265516644</v>
      </c>
      <c r="CT89" s="1369">
        <f t="shared" si="106"/>
        <v>0.14178018457783539</v>
      </c>
      <c r="CU89" s="1370">
        <f t="shared" si="106"/>
        <v>0.14116715829050949</v>
      </c>
    </row>
    <row r="90" spans="1:99" s="1086" customFormat="1">
      <c r="AE90" s="1368">
        <f t="shared" ref="AE90:AQ90" si="107">P11/P$13</f>
        <v>0.21521993529290287</v>
      </c>
      <c r="AF90" s="1369">
        <f t="shared" si="107"/>
        <v>0.21544951056156619</v>
      </c>
      <c r="AG90" s="1369">
        <f t="shared" si="107"/>
        <v>0.22377334936897711</v>
      </c>
      <c r="AH90" s="1369">
        <f t="shared" si="107"/>
        <v>0.22304832713754646</v>
      </c>
      <c r="AI90" s="1369">
        <f t="shared" si="107"/>
        <v>0.22261773946419453</v>
      </c>
      <c r="AJ90" s="1369">
        <f t="shared" si="107"/>
        <v>0.21850016807705236</v>
      </c>
      <c r="AK90" s="1369">
        <f t="shared" si="107"/>
        <v>0.22867417135709819</v>
      </c>
      <c r="AL90" s="1369">
        <f t="shared" si="107"/>
        <v>0.23628532209968287</v>
      </c>
      <c r="AM90" s="1369">
        <f t="shared" si="107"/>
        <v>0.24396474045053868</v>
      </c>
      <c r="AN90" s="1369">
        <f t="shared" si="107"/>
        <v>0.25121929977355861</v>
      </c>
      <c r="AO90" s="1369">
        <f t="shared" si="107"/>
        <v>0.25548367797180571</v>
      </c>
      <c r="AP90" s="1369">
        <f t="shared" si="107"/>
        <v>0.25206114026783333</v>
      </c>
      <c r="AQ90" s="1369">
        <f t="shared" si="107"/>
        <v>0.24420823445947598</v>
      </c>
      <c r="AR90" s="1363"/>
      <c r="AS90" s="1369">
        <f t="shared" ref="AS90:BE90" si="108">P18/P$20</f>
        <v>6.2076490953914133E-2</v>
      </c>
      <c r="AT90" s="1369">
        <f t="shared" si="108"/>
        <v>6.8235126278202274E-2</v>
      </c>
      <c r="AU90" s="1369">
        <f t="shared" si="108"/>
        <v>7.3157417819360901E-2</v>
      </c>
      <c r="AV90" s="1369">
        <f t="shared" si="108"/>
        <v>7.6263448330620515E-2</v>
      </c>
      <c r="AW90" s="1369">
        <f t="shared" si="108"/>
        <v>8.9058826637081645E-2</v>
      </c>
      <c r="AX90" s="1369">
        <f t="shared" si="108"/>
        <v>9.5031633202716542E-2</v>
      </c>
      <c r="AY90" s="1369">
        <f t="shared" si="108"/>
        <v>8.4929119047501805E-2</v>
      </c>
      <c r="AZ90" s="1369">
        <f t="shared" si="108"/>
        <v>8.7439935463505314E-2</v>
      </c>
      <c r="BA90" s="1369">
        <f t="shared" si="108"/>
        <v>8.7803624212826115E-2</v>
      </c>
      <c r="BB90" s="1369">
        <f t="shared" si="108"/>
        <v>8.2202212217219725E-2</v>
      </c>
      <c r="BC90" s="1369">
        <f t="shared" si="108"/>
        <v>7.8965119325688615E-2</v>
      </c>
      <c r="BD90" s="1369">
        <f t="shared" si="108"/>
        <v>8.3239320504198036E-2</v>
      </c>
      <c r="BE90" s="1369">
        <f t="shared" si="108"/>
        <v>8.1317644722470453E-2</v>
      </c>
      <c r="BF90" s="1363"/>
      <c r="BG90" s="1369">
        <f t="shared" ref="BG90:BS90" si="109">P25/P$27</f>
        <v>6.8431067791932365E-2</v>
      </c>
      <c r="BH90" s="1369">
        <f t="shared" si="109"/>
        <v>6.2014358108108111E-2</v>
      </c>
      <c r="BI90" s="1369">
        <f t="shared" si="109"/>
        <v>7.4065587351388504E-2</v>
      </c>
      <c r="BJ90" s="1369">
        <f t="shared" si="109"/>
        <v>6.938663315793607E-2</v>
      </c>
      <c r="BK90" s="1369">
        <f t="shared" si="109"/>
        <v>6.7834743346740015E-2</v>
      </c>
      <c r="BL90" s="1369">
        <f t="shared" si="109"/>
        <v>7.2021045811942325E-2</v>
      </c>
      <c r="BM90" s="1369">
        <f t="shared" si="109"/>
        <v>6.8840413318025262E-2</v>
      </c>
      <c r="BN90" s="1369">
        <f t="shared" si="109"/>
        <v>6.7096517544877429E-2</v>
      </c>
      <c r="BO90" s="1369">
        <f t="shared" si="109"/>
        <v>6.6480691022754002E-2</v>
      </c>
      <c r="BP90" s="1369">
        <f t="shared" si="109"/>
        <v>6.5024152282728925E-2</v>
      </c>
      <c r="BQ90" s="1369">
        <f t="shared" si="109"/>
        <v>6.3101969339447631E-2</v>
      </c>
      <c r="BR90" s="1369">
        <f t="shared" si="109"/>
        <v>6.8829602007101628E-2</v>
      </c>
      <c r="BS90" s="1369">
        <f t="shared" si="109"/>
        <v>7.816245006657789E-2</v>
      </c>
      <c r="BT90" s="1363"/>
      <c r="BU90" s="1369">
        <f t="shared" ref="BU90:CG90" si="110">P32/P$34</f>
        <v>8.1304122566797421E-2</v>
      </c>
      <c r="BV90" s="1369">
        <f t="shared" si="110"/>
        <v>7.1662221912348278E-2</v>
      </c>
      <c r="BW90" s="1369">
        <f t="shared" si="110"/>
        <v>7.7271366389535023E-2</v>
      </c>
      <c r="BX90" s="1369">
        <f t="shared" si="110"/>
        <v>8.0283887369515819E-2</v>
      </c>
      <c r="BY90" s="1369">
        <f t="shared" si="110"/>
        <v>7.4609395098358691E-2</v>
      </c>
      <c r="BZ90" s="1369">
        <f t="shared" si="110"/>
        <v>6.4447450155295058E-2</v>
      </c>
      <c r="CA90" s="1369">
        <f t="shared" si="110"/>
        <v>6.3425266199580416E-2</v>
      </c>
      <c r="CB90" s="1369">
        <f t="shared" si="110"/>
        <v>5.6344967439734946E-2</v>
      </c>
      <c r="CC90" s="1369">
        <f t="shared" si="110"/>
        <v>5.3025937933157005E-2</v>
      </c>
      <c r="CD90" s="1369">
        <f t="shared" si="110"/>
        <v>5.1046368848331726E-2</v>
      </c>
      <c r="CE90" s="1369">
        <f t="shared" si="110"/>
        <v>3.9771601899167557E-2</v>
      </c>
      <c r="CF90" s="1369">
        <f t="shared" si="110"/>
        <v>4.0007414368356163E-2</v>
      </c>
      <c r="CG90" s="1369">
        <f t="shared" si="110"/>
        <v>3.1937240322817022E-2</v>
      </c>
      <c r="CH90" s="1369"/>
      <c r="CI90" s="1369">
        <f t="shared" ref="CI90:CU90" si="111">P39/P$41</f>
        <v>0.49082481080441137</v>
      </c>
      <c r="CJ90" s="1369">
        <f t="shared" si="111"/>
        <v>0.48384668492906618</v>
      </c>
      <c r="CK90" s="1369">
        <f t="shared" si="111"/>
        <v>0.47807074717070569</v>
      </c>
      <c r="CL90" s="1369">
        <f t="shared" si="111"/>
        <v>0.48083574783594579</v>
      </c>
      <c r="CM90" s="1369">
        <f t="shared" si="111"/>
        <v>0.48098457813534123</v>
      </c>
      <c r="CN90" s="1369">
        <f t="shared" si="111"/>
        <v>0.47240513794917677</v>
      </c>
      <c r="CO90" s="1369">
        <f t="shared" si="111"/>
        <v>0.47425663836541287</v>
      </c>
      <c r="CP90" s="1369">
        <f t="shared" si="111"/>
        <v>0.4734481493214231</v>
      </c>
      <c r="CQ90" s="1369">
        <f t="shared" si="111"/>
        <v>0.46924054211249711</v>
      </c>
      <c r="CR90" s="1369">
        <f t="shared" si="111"/>
        <v>0.47150354089665097</v>
      </c>
      <c r="CS90" s="1369">
        <f t="shared" si="111"/>
        <v>0.4674950922319478</v>
      </c>
      <c r="CT90" s="1369">
        <f t="shared" si="111"/>
        <v>0.45671573487910916</v>
      </c>
      <c r="CU90" s="1370">
        <f t="shared" si="111"/>
        <v>0.43886858492724584</v>
      </c>
    </row>
    <row r="91" spans="1:99" s="1086" customFormat="1">
      <c r="AE91" s="1368">
        <f t="shared" ref="AE91:AQ92" si="112">P9/P$13</f>
        <v>2.395539340538308E-2</v>
      </c>
      <c r="AF91" s="1369">
        <f t="shared" si="112"/>
        <v>2.2974626481195259E-2</v>
      </c>
      <c r="AG91" s="1369">
        <f t="shared" si="112"/>
        <v>2.7219997868680255E-2</v>
      </c>
      <c r="AH91" s="1369">
        <f t="shared" si="112"/>
        <v>2.9814725986329296E-2</v>
      </c>
      <c r="AI91" s="1369">
        <f t="shared" si="112"/>
        <v>2.9266556265766949E-2</v>
      </c>
      <c r="AJ91" s="1369">
        <f t="shared" si="112"/>
        <v>2.9040791569839668E-2</v>
      </c>
      <c r="AK91" s="1369">
        <f t="shared" si="112"/>
        <v>3.3458411507191997E-2</v>
      </c>
      <c r="AL91" s="1369">
        <f t="shared" si="112"/>
        <v>4.1984190845837079E-2</v>
      </c>
      <c r="AM91" s="1369">
        <f t="shared" si="112"/>
        <v>4.9065621939275224E-2</v>
      </c>
      <c r="AN91" s="1369">
        <f t="shared" si="112"/>
        <v>5.2596818208209953E-2</v>
      </c>
      <c r="AO91" s="1369">
        <f t="shared" si="112"/>
        <v>5.2716598736117865E-2</v>
      </c>
      <c r="AP91" s="1369">
        <f t="shared" si="112"/>
        <v>5.3364461070414253E-2</v>
      </c>
      <c r="AQ91" s="1369">
        <f t="shared" si="112"/>
        <v>5.3612055679232822E-2</v>
      </c>
      <c r="AR91" s="1363"/>
      <c r="AS91" s="1369">
        <f t="shared" ref="AS91:BE92" si="113">P16/P$20</f>
        <v>1.5739156596749786E-2</v>
      </c>
      <c r="AT91" s="1369">
        <f t="shared" si="113"/>
        <v>1.6985351812456206E-2</v>
      </c>
      <c r="AU91" s="1369">
        <f t="shared" si="113"/>
        <v>1.8796103220265585E-2</v>
      </c>
      <c r="AV91" s="1369">
        <f t="shared" si="113"/>
        <v>1.7987649731664977E-2</v>
      </c>
      <c r="AW91" s="1369">
        <f t="shared" si="113"/>
        <v>1.9089380211497652E-2</v>
      </c>
      <c r="AX91" s="1369">
        <f t="shared" si="113"/>
        <v>2.0521974249833649E-2</v>
      </c>
      <c r="AY91" s="1369">
        <f t="shared" si="113"/>
        <v>9.0207644999433737E-3</v>
      </c>
      <c r="AZ91" s="1369">
        <f t="shared" si="113"/>
        <v>1.2100592753674021E-2</v>
      </c>
      <c r="BA91" s="1369">
        <f t="shared" si="113"/>
        <v>2.1585914406888576E-2</v>
      </c>
      <c r="BB91" s="1369">
        <f t="shared" si="113"/>
        <v>2.18887221388472E-2</v>
      </c>
      <c r="BC91" s="1369">
        <f t="shared" si="113"/>
        <v>2.2075670492744573E-2</v>
      </c>
      <c r="BD91" s="1369">
        <f t="shared" si="113"/>
        <v>2.3458008808278915E-2</v>
      </c>
      <c r="BE91" s="1369">
        <f t="shared" si="113"/>
        <v>2.5260649389335716E-2</v>
      </c>
      <c r="BF91" s="1363"/>
      <c r="BG91" s="1369">
        <f t="shared" ref="BG91:BS92" si="114">P23/P$27</f>
        <v>0.74668448498758044</v>
      </c>
      <c r="BH91" s="1369">
        <f t="shared" si="114"/>
        <v>0.76285895270270265</v>
      </c>
      <c r="BI91" s="1369">
        <f t="shared" si="114"/>
        <v>0.7408409493509126</v>
      </c>
      <c r="BJ91" s="1369">
        <f t="shared" si="114"/>
        <v>0.75133118668027954</v>
      </c>
      <c r="BK91" s="1369">
        <f t="shared" si="114"/>
        <v>0.74964942289615211</v>
      </c>
      <c r="BL91" s="1369">
        <f t="shared" si="114"/>
        <v>0.74914844954011373</v>
      </c>
      <c r="BM91" s="1369">
        <f t="shared" si="114"/>
        <v>0.75683122847301953</v>
      </c>
      <c r="BN91" s="1369">
        <f t="shared" si="114"/>
        <v>0.75290480847325592</v>
      </c>
      <c r="BO91" s="1369">
        <f t="shared" si="114"/>
        <v>0.7497311195509696</v>
      </c>
      <c r="BP91" s="1369">
        <f t="shared" si="114"/>
        <v>0.75482448810689073</v>
      </c>
      <c r="BQ91" s="1369">
        <f t="shared" si="114"/>
        <v>0.77082498553047507</v>
      </c>
      <c r="BR91" s="1369">
        <f t="shared" si="114"/>
        <v>0.75644013654871745</v>
      </c>
      <c r="BS91" s="1369">
        <f t="shared" si="114"/>
        <v>0.73385116141441042</v>
      </c>
      <c r="BT91" s="1363"/>
      <c r="BU91" s="1369">
        <f t="shared" ref="BU91:CG92" si="115">P30/P$34</f>
        <v>3.8250314558507879E-2</v>
      </c>
      <c r="BV91" s="1369">
        <f t="shared" si="115"/>
        <v>2.8365085728562049E-2</v>
      </c>
      <c r="BW91" s="1369">
        <f t="shared" si="115"/>
        <v>2.4504272126390458E-2</v>
      </c>
      <c r="BX91" s="1369">
        <f t="shared" si="115"/>
        <v>2.056450059704942E-2</v>
      </c>
      <c r="BY91" s="1369">
        <f t="shared" si="115"/>
        <v>1.9838955871507708E-2</v>
      </c>
      <c r="BZ91" s="1369">
        <f t="shared" si="115"/>
        <v>1.7427556802368946E-2</v>
      </c>
      <c r="CA91" s="1369">
        <f t="shared" si="115"/>
        <v>1.8332145825911413E-2</v>
      </c>
      <c r="CB91" s="1369">
        <f t="shared" si="115"/>
        <v>1.8700731177881871E-2</v>
      </c>
      <c r="CC91" s="1369">
        <f t="shared" si="115"/>
        <v>1.9953858293589914E-2</v>
      </c>
      <c r="CD91" s="1369">
        <f t="shared" si="115"/>
        <v>2.0841246985450659E-2</v>
      </c>
      <c r="CE91" s="1369">
        <f t="shared" si="115"/>
        <v>1.7563715864311758E-2</v>
      </c>
      <c r="CF91" s="1369">
        <f t="shared" si="115"/>
        <v>1.5929396821017721E-2</v>
      </c>
      <c r="CG91" s="1369">
        <f t="shared" si="115"/>
        <v>1.3107082509234706E-2</v>
      </c>
      <c r="CH91" s="1369"/>
      <c r="CI91" s="1369">
        <f t="shared" ref="CI91:CU92" si="116">P37/P$41</f>
        <v>5.3143242234101648E-2</v>
      </c>
      <c r="CJ91" s="1369">
        <f t="shared" si="116"/>
        <v>5.4617937239705129E-2</v>
      </c>
      <c r="CK91" s="1369">
        <f t="shared" si="116"/>
        <v>5.2272323280203828E-2</v>
      </c>
      <c r="CL91" s="1369">
        <f t="shared" si="116"/>
        <v>5.2362013425234402E-2</v>
      </c>
      <c r="CM91" s="1369">
        <f t="shared" si="116"/>
        <v>5.4773062123142112E-2</v>
      </c>
      <c r="CN91" s="1369">
        <f t="shared" si="116"/>
        <v>6.0065615082756103E-2</v>
      </c>
      <c r="CO91" s="1369">
        <f t="shared" si="116"/>
        <v>6.432623107154288E-2</v>
      </c>
      <c r="CP91" s="1369">
        <f t="shared" si="116"/>
        <v>6.4978405352085281E-2</v>
      </c>
      <c r="CQ91" s="1369">
        <f t="shared" si="116"/>
        <v>6.4271069245740983E-2</v>
      </c>
      <c r="CR91" s="1369">
        <f t="shared" si="116"/>
        <v>6.1179922692774315E-2</v>
      </c>
      <c r="CS91" s="1369">
        <f t="shared" si="116"/>
        <v>6.243590071393465E-2</v>
      </c>
      <c r="CT91" s="1369">
        <f t="shared" si="116"/>
        <v>6.3348333460453057E-2</v>
      </c>
      <c r="CU91" s="1370">
        <f t="shared" si="116"/>
        <v>6.8119275983402283E-2</v>
      </c>
    </row>
    <row r="92" spans="1:99" s="1086" customFormat="1">
      <c r="AE92" s="1368">
        <f t="shared" si="112"/>
        <v>7.4516417704963171E-3</v>
      </c>
      <c r="AF92" s="1369">
        <f t="shared" si="112"/>
        <v>8.2914734672849041E-3</v>
      </c>
      <c r="AG92" s="1369">
        <f t="shared" si="112"/>
        <v>1.2072403976433693E-2</v>
      </c>
      <c r="AH92" s="1369">
        <f t="shared" si="112"/>
        <v>1.4105408322340808E-2</v>
      </c>
      <c r="AI92" s="1369">
        <f t="shared" si="112"/>
        <v>1.835543930787922E-2</v>
      </c>
      <c r="AJ92" s="1369">
        <f t="shared" si="112"/>
        <v>2.0563861972201516E-2</v>
      </c>
      <c r="AK92" s="1369">
        <f t="shared" si="112"/>
        <v>2.619345424223473E-2</v>
      </c>
      <c r="AL92" s="1369">
        <f t="shared" si="112"/>
        <v>3.010365882519998E-2</v>
      </c>
      <c r="AM92" s="1369">
        <f t="shared" si="112"/>
        <v>3.7853085210577862E-2</v>
      </c>
      <c r="AN92" s="1369">
        <f t="shared" si="112"/>
        <v>4.5208442199384545E-2</v>
      </c>
      <c r="AO92" s="1369">
        <f t="shared" si="112"/>
        <v>5.1325580525745054E-2</v>
      </c>
      <c r="AP92" s="1369">
        <f t="shared" si="112"/>
        <v>6.3088815154551059E-2</v>
      </c>
      <c r="AQ92" s="1369">
        <f t="shared" si="112"/>
        <v>7.150720454045062E-2</v>
      </c>
      <c r="AR92" s="1363"/>
      <c r="AS92" s="1369">
        <f t="shared" si="113"/>
        <v>1.1450741603912112E-3</v>
      </c>
      <c r="AT92" s="1369">
        <f t="shared" si="113"/>
        <v>1.7455302257860131E-3</v>
      </c>
      <c r="AU92" s="1369">
        <f t="shared" si="113"/>
        <v>2.9913643459938645E-3</v>
      </c>
      <c r="AV92" s="1369">
        <f t="shared" si="113"/>
        <v>4.4860851959188531E-3</v>
      </c>
      <c r="AW92" s="1369">
        <f t="shared" si="113"/>
        <v>6.8679504450960193E-3</v>
      </c>
      <c r="AX92" s="1369">
        <f t="shared" si="113"/>
        <v>8.1063382587479808E-3</v>
      </c>
      <c r="AY92" s="1369">
        <f t="shared" si="113"/>
        <v>2.1133799800085677E-2</v>
      </c>
      <c r="AZ92" s="1369">
        <f t="shared" si="113"/>
        <v>2.1204848254057333E-2</v>
      </c>
      <c r="BA92" s="1369">
        <f t="shared" si="113"/>
        <v>1.6203572805551986E-2</v>
      </c>
      <c r="BB92" s="1369">
        <f t="shared" si="113"/>
        <v>2.0777055194263799E-2</v>
      </c>
      <c r="BC92" s="1369">
        <f t="shared" si="113"/>
        <v>2.4143870935372916E-2</v>
      </c>
      <c r="BD92" s="1369">
        <f t="shared" si="113"/>
        <v>2.6587551255071271E-2</v>
      </c>
      <c r="BE92" s="1369">
        <f t="shared" si="113"/>
        <v>3.209711051534108E-2</v>
      </c>
      <c r="BF92" s="1363"/>
      <c r="BG92" s="1369">
        <f t="shared" si="114"/>
        <v>2.9487384338276949E-3</v>
      </c>
      <c r="BH92" s="1369">
        <f t="shared" si="114"/>
        <v>3.4417229729729729E-3</v>
      </c>
      <c r="BI92" s="1369">
        <f t="shared" si="114"/>
        <v>3.85134003719143E-3</v>
      </c>
      <c r="BJ92" s="1369">
        <f t="shared" si="114"/>
        <v>4.4372889342652946E-3</v>
      </c>
      <c r="BK92" s="1369">
        <f t="shared" si="114"/>
        <v>6.2410429476214696E-3</v>
      </c>
      <c r="BL92" s="1369">
        <f t="shared" si="114"/>
        <v>8.3731705162309929E-3</v>
      </c>
      <c r="BM92" s="1369">
        <f t="shared" si="114"/>
        <v>1.0121699196326063E-2</v>
      </c>
      <c r="BN92" s="1369">
        <f t="shared" si="114"/>
        <v>1.2895526346322786E-2</v>
      </c>
      <c r="BO92" s="1369">
        <f t="shared" si="114"/>
        <v>1.513292777198938E-2</v>
      </c>
      <c r="BP92" s="1369">
        <f t="shared" si="114"/>
        <v>1.6170490446518807E-2</v>
      </c>
      <c r="BQ92" s="1369">
        <f t="shared" si="114"/>
        <v>1.5144769452235727E-2</v>
      </c>
      <c r="BR92" s="1369">
        <f t="shared" si="114"/>
        <v>2.0557711026720226E-2</v>
      </c>
      <c r="BS92" s="1369">
        <f t="shared" si="114"/>
        <v>2.2703062583222369E-2</v>
      </c>
      <c r="BT92" s="1363"/>
      <c r="BU92" s="1369">
        <f t="shared" si="115"/>
        <v>0.59038561172378057</v>
      </c>
      <c r="BV92" s="1369">
        <f t="shared" si="115"/>
        <v>0.65275139007512506</v>
      </c>
      <c r="BW92" s="1369">
        <f t="shared" si="115"/>
        <v>0.6625688031137007</v>
      </c>
      <c r="BX92" s="1369">
        <f t="shared" si="115"/>
        <v>0.69110877855244401</v>
      </c>
      <c r="BY92" s="1369">
        <f t="shared" si="115"/>
        <v>0.69751487814499114</v>
      </c>
      <c r="BZ92" s="1369">
        <f t="shared" si="115"/>
        <v>0.73315967003974214</v>
      </c>
      <c r="CA92" s="1369">
        <f t="shared" si="115"/>
        <v>0.74747654672841701</v>
      </c>
      <c r="CB92" s="1369">
        <f t="shared" si="115"/>
        <v>0.77823317719638985</v>
      </c>
      <c r="CC92" s="1369">
        <f t="shared" si="115"/>
        <v>0.80055860621501485</v>
      </c>
      <c r="CD92" s="1369">
        <f t="shared" si="115"/>
        <v>0.79707555586964784</v>
      </c>
      <c r="CE92" s="1369">
        <f t="shared" si="115"/>
        <v>0.8312932561442824</v>
      </c>
      <c r="CF92" s="1369">
        <f t="shared" si="115"/>
        <v>0.84189003169786158</v>
      </c>
      <c r="CG92" s="1369">
        <f t="shared" si="115"/>
        <v>0.87128905100163212</v>
      </c>
      <c r="CH92" s="1369"/>
      <c r="CI92" s="1369">
        <f t="shared" si="116"/>
        <v>1.2098500095622319E-2</v>
      </c>
      <c r="CJ92" s="1369">
        <f t="shared" si="116"/>
        <v>1.4137769760138972E-2</v>
      </c>
      <c r="CK92" s="1369">
        <f t="shared" si="116"/>
        <v>1.8316841460765145E-2</v>
      </c>
      <c r="CL92" s="1369">
        <f t="shared" si="116"/>
        <v>2.1336404700631671E-2</v>
      </c>
      <c r="CM92" s="1369">
        <f t="shared" si="116"/>
        <v>2.4065691755604853E-2</v>
      </c>
      <c r="CN92" s="1369">
        <f t="shared" si="116"/>
        <v>2.7197753403908086E-2</v>
      </c>
      <c r="CO92" s="1369">
        <f t="shared" si="116"/>
        <v>3.4522469963603246E-2</v>
      </c>
      <c r="CP92" s="1369">
        <f t="shared" si="116"/>
        <v>4.153637216187988E-2</v>
      </c>
      <c r="CQ92" s="1369">
        <f t="shared" si="116"/>
        <v>4.707579632114739E-2</v>
      </c>
      <c r="CR92" s="1369">
        <f t="shared" si="116"/>
        <v>5.4196879496656601E-2</v>
      </c>
      <c r="CS92" s="1369">
        <f t="shared" si="116"/>
        <v>6.0876210606460923E-2</v>
      </c>
      <c r="CT92" s="1369">
        <f t="shared" si="116"/>
        <v>7.2442986804972923E-2</v>
      </c>
      <c r="CU92" s="1370">
        <f t="shared" si="116"/>
        <v>8.37924914506923E-2</v>
      </c>
    </row>
    <row r="93" spans="1:99" s="1086" customFormat="1">
      <c r="AE93" s="1371">
        <f t="shared" ref="AE93:AQ93" si="117">P12/P$13</f>
        <v>4.2937289185654301E-2</v>
      </c>
      <c r="AF93" s="1372">
        <f t="shared" si="117"/>
        <v>4.1167568263781554E-2</v>
      </c>
      <c r="AG93" s="1372">
        <f t="shared" si="117"/>
        <v>4.4468464079650466E-2</v>
      </c>
      <c r="AH93" s="1372">
        <f t="shared" si="117"/>
        <v>4.7352800095934768E-2</v>
      </c>
      <c r="AI93" s="1372">
        <f t="shared" si="117"/>
        <v>4.6275517310757894E-2</v>
      </c>
      <c r="AJ93" s="1372">
        <f t="shared" si="117"/>
        <v>4.2852340655646658E-2</v>
      </c>
      <c r="AK93" s="1372">
        <f t="shared" si="117"/>
        <v>4.3318740879716489E-2</v>
      </c>
      <c r="AL93" s="1372">
        <f t="shared" si="117"/>
        <v>4.4682160268850288E-2</v>
      </c>
      <c r="AM93" s="1372">
        <f t="shared" si="117"/>
        <v>4.8164544564152791E-2</v>
      </c>
      <c r="AN93" s="1372">
        <f t="shared" si="117"/>
        <v>4.863409394414446E-2</v>
      </c>
      <c r="AO93" s="1372">
        <f t="shared" si="117"/>
        <v>5.0517892532625362E-2</v>
      </c>
      <c r="AP93" s="1372">
        <f t="shared" si="117"/>
        <v>5.1434296271105434E-2</v>
      </c>
      <c r="AQ93" s="1372">
        <f t="shared" si="117"/>
        <v>4.8951733248526065E-2</v>
      </c>
      <c r="AR93" s="1373"/>
      <c r="AS93" s="1372">
        <f t="shared" ref="AS93:BE93" si="118">P19/P$20</f>
        <v>1.0085633585249649E-2</v>
      </c>
      <c r="AT93" s="1372">
        <f t="shared" si="118"/>
        <v>1.137531837044683E-2</v>
      </c>
      <c r="AU93" s="1372">
        <f t="shared" si="118"/>
        <v>1.257319198954842E-2</v>
      </c>
      <c r="AV93" s="1372">
        <f t="shared" si="118"/>
        <v>1.2527113205980966E-2</v>
      </c>
      <c r="AW93" s="1372">
        <f t="shared" si="118"/>
        <v>1.4748483327610041E-2</v>
      </c>
      <c r="AX93" s="1372">
        <f t="shared" si="118"/>
        <v>1.5167038097149315E-2</v>
      </c>
      <c r="AY93" s="1372">
        <f t="shared" si="118"/>
        <v>1.4703058295213381E-2</v>
      </c>
      <c r="AZ93" s="1372">
        <f t="shared" si="118"/>
        <v>1.5287332708678856E-2</v>
      </c>
      <c r="BA93" s="1372">
        <f t="shared" si="118"/>
        <v>1.5427322966199718E-2</v>
      </c>
      <c r="BB93" s="1372">
        <f t="shared" si="118"/>
        <v>1.7203045967428159E-2</v>
      </c>
      <c r="BC93" s="1372">
        <f t="shared" si="118"/>
        <v>1.8574781333794171E-2</v>
      </c>
      <c r="BD93" s="1372">
        <f t="shared" si="118"/>
        <v>1.978608465493676E-2</v>
      </c>
      <c r="BE93" s="1372">
        <f t="shared" si="118"/>
        <v>1.7699334723463411E-2</v>
      </c>
      <c r="BF93" s="1373"/>
      <c r="BG93" s="1372">
        <f t="shared" ref="BG93:BS93" si="119">P26/P$27</f>
        <v>9.5870313612131958E-3</v>
      </c>
      <c r="BH93" s="1372">
        <f t="shared" si="119"/>
        <v>8.8154560810810804E-3</v>
      </c>
      <c r="BI93" s="1372">
        <f t="shared" si="119"/>
        <v>1.1571646381767386E-2</v>
      </c>
      <c r="BJ93" s="1372">
        <f t="shared" si="119"/>
        <v>1.1269928532160528E-2</v>
      </c>
      <c r="BK93" s="1372">
        <f t="shared" si="119"/>
        <v>1.2620775738523415E-2</v>
      </c>
      <c r="BL93" s="1372">
        <f t="shared" si="119"/>
        <v>1.2937677304094314E-2</v>
      </c>
      <c r="BM93" s="1372">
        <f t="shared" si="119"/>
        <v>1.2629161882893225E-2</v>
      </c>
      <c r="BN93" s="1372">
        <f t="shared" si="119"/>
        <v>1.3459084052974425E-2</v>
      </c>
      <c r="BO93" s="1372">
        <f t="shared" si="119"/>
        <v>1.1477834167983061E-2</v>
      </c>
      <c r="BP93" s="1372">
        <f t="shared" si="119"/>
        <v>1.2326815798059859E-2</v>
      </c>
      <c r="BQ93" s="1372">
        <f t="shared" si="119"/>
        <v>1.515960999065046E-2</v>
      </c>
      <c r="BR93" s="1372">
        <f t="shared" si="119"/>
        <v>1.5382295279746645E-2</v>
      </c>
      <c r="BS93" s="1372">
        <f t="shared" si="119"/>
        <v>1.5682793312620211E-2</v>
      </c>
      <c r="BT93" s="1373"/>
      <c r="BU93" s="1372">
        <f t="shared" ref="BU93:CG93" si="120">P33/P$34</f>
        <v>1.2375101768929021E-2</v>
      </c>
      <c r="BV93" s="1372">
        <f t="shared" si="120"/>
        <v>1.0161928500461905E-2</v>
      </c>
      <c r="BW93" s="1372">
        <f t="shared" si="120"/>
        <v>1.0856498007876374E-2</v>
      </c>
      <c r="BX93" s="1372">
        <f t="shared" si="120"/>
        <v>1.0978005469743077E-2</v>
      </c>
      <c r="BY93" s="1372">
        <f t="shared" si="120"/>
        <v>1.0693398734285764E-2</v>
      </c>
      <c r="BZ93" s="1372">
        <f t="shared" si="120"/>
        <v>9.2314286032350347E-3</v>
      </c>
      <c r="CA93" s="1372">
        <f t="shared" si="120"/>
        <v>9.2947195503305224E-3</v>
      </c>
      <c r="CB93" s="1372">
        <f t="shared" si="120"/>
        <v>8.2424121253665411E-3</v>
      </c>
      <c r="CC93" s="1372">
        <f t="shared" si="120"/>
        <v>8.2795900469053354E-3</v>
      </c>
      <c r="CD93" s="1372">
        <f t="shared" si="120"/>
        <v>9.3108718120864659E-3</v>
      </c>
      <c r="CE93" s="1372">
        <f t="shared" si="120"/>
        <v>1.1208634912011651E-2</v>
      </c>
      <c r="CF93" s="1372">
        <f t="shared" si="120"/>
        <v>8.6299799122345703E-3</v>
      </c>
      <c r="CG93" s="1372">
        <f t="shared" si="120"/>
        <v>6.4007254990624375E-3</v>
      </c>
      <c r="CH93" s="1372"/>
      <c r="CI93" s="1372">
        <f t="shared" ref="CI93:CU93" si="121">P40/P$41</f>
        <v>9.2011438250749047E-2</v>
      </c>
      <c r="CJ93" s="1372">
        <f t="shared" si="121"/>
        <v>9.5899868599808466E-2</v>
      </c>
      <c r="CK93" s="1372">
        <f t="shared" si="121"/>
        <v>0.10027058521459185</v>
      </c>
      <c r="CL93" s="1372">
        <f t="shared" si="121"/>
        <v>0.10220814512210484</v>
      </c>
      <c r="CM93" s="1372">
        <f t="shared" si="121"/>
        <v>0.10233572903813727</v>
      </c>
      <c r="CN93" s="1372">
        <f t="shared" si="121"/>
        <v>0.10542648128227555</v>
      </c>
      <c r="CO93" s="1372">
        <f t="shared" si="121"/>
        <v>0.10447155410511172</v>
      </c>
      <c r="CP93" s="1372">
        <f t="shared" si="121"/>
        <v>0.10533232547854807</v>
      </c>
      <c r="CQ93" s="1372">
        <f t="shared" si="121"/>
        <v>0.1057613262325391</v>
      </c>
      <c r="CR93" s="1372">
        <f t="shared" si="121"/>
        <v>0.1050757554383094</v>
      </c>
      <c r="CS93" s="1372">
        <f t="shared" si="121"/>
        <v>0.10806180804731912</v>
      </c>
      <c r="CT93" s="1372">
        <f t="shared" si="121"/>
        <v>0.11132941804591565</v>
      </c>
      <c r="CU93" s="1374">
        <f t="shared" si="121"/>
        <v>0.11388048902658479</v>
      </c>
    </row>
    <row r="96" spans="1:99">
      <c r="A96" s="11" t="s">
        <v>113</v>
      </c>
      <c r="B96" t="s">
        <v>420</v>
      </c>
    </row>
    <row r="97" spans="1:97">
      <c r="B97" s="434"/>
      <c r="C97" s="11"/>
      <c r="D97" s="11"/>
      <c r="E97" s="9"/>
      <c r="F97" s="434"/>
      <c r="G97" s="434"/>
      <c r="H97" s="434"/>
      <c r="I97" s="434"/>
      <c r="J97" s="434"/>
      <c r="K97" s="434"/>
      <c r="L97" s="434"/>
      <c r="M97" s="434"/>
    </row>
    <row r="98" spans="1:97">
      <c r="A98" s="524" t="s">
        <v>34</v>
      </c>
      <c r="B98" s="94" t="s">
        <v>114</v>
      </c>
      <c r="C98" s="437">
        <v>2009</v>
      </c>
      <c r="D98" s="437">
        <v>2010</v>
      </c>
      <c r="E98" s="437">
        <v>2011</v>
      </c>
      <c r="F98" s="437">
        <v>2012</v>
      </c>
      <c r="G98" s="437">
        <v>2013</v>
      </c>
      <c r="H98" s="437">
        <v>2014</v>
      </c>
      <c r="I98" s="437">
        <v>2015</v>
      </c>
      <c r="J98" s="437">
        <v>2016</v>
      </c>
      <c r="K98" s="437">
        <v>2017</v>
      </c>
      <c r="L98" s="437">
        <v>2018</v>
      </c>
      <c r="M98" s="437">
        <v>2019</v>
      </c>
      <c r="N98" s="437">
        <v>2020</v>
      </c>
      <c r="O98" s="437">
        <v>2021</v>
      </c>
      <c r="P98" s="437">
        <v>2022</v>
      </c>
    </row>
    <row r="99" spans="1:97">
      <c r="A99" s="1352" t="s">
        <v>36</v>
      </c>
      <c r="B99" s="806">
        <v>1</v>
      </c>
      <c r="C99" s="826">
        <v>11498</v>
      </c>
      <c r="D99" s="826">
        <v>12037</v>
      </c>
      <c r="E99" s="436">
        <v>11697</v>
      </c>
      <c r="F99" s="436">
        <v>12089</v>
      </c>
      <c r="G99" s="436">
        <v>12158</v>
      </c>
      <c r="H99" s="436">
        <v>12202</v>
      </c>
      <c r="I99" s="436">
        <v>12613</v>
      </c>
      <c r="J99" s="436">
        <v>15960</v>
      </c>
      <c r="K99" s="436">
        <v>16717</v>
      </c>
      <c r="L99" s="436">
        <v>18235</v>
      </c>
      <c r="M99" s="436">
        <v>19416</v>
      </c>
      <c r="N99" s="436">
        <v>19481</v>
      </c>
      <c r="O99" s="436">
        <v>17466</v>
      </c>
      <c r="P99" s="436">
        <v>13971</v>
      </c>
    </row>
    <row r="100" spans="1:97">
      <c r="A100" s="1353"/>
      <c r="B100" s="809" t="s">
        <v>115</v>
      </c>
      <c r="C100" s="827">
        <v>3743</v>
      </c>
      <c r="D100" s="827">
        <v>4043</v>
      </c>
      <c r="E100" s="810">
        <v>3491</v>
      </c>
      <c r="F100" s="810">
        <v>3765</v>
      </c>
      <c r="G100" s="810">
        <v>3726</v>
      </c>
      <c r="H100" s="810">
        <v>3761</v>
      </c>
      <c r="I100" s="810">
        <v>3934</v>
      </c>
      <c r="J100" s="810">
        <v>5198</v>
      </c>
      <c r="K100" s="810">
        <v>5364</v>
      </c>
      <c r="L100" s="810">
        <v>6156</v>
      </c>
      <c r="M100" s="810">
        <v>6412</v>
      </c>
      <c r="N100" s="810">
        <v>6481</v>
      </c>
      <c r="O100" s="810">
        <v>5506</v>
      </c>
      <c r="P100" s="810">
        <v>4253</v>
      </c>
    </row>
    <row r="101" spans="1:97">
      <c r="A101" s="1353"/>
      <c r="B101" s="809" t="s">
        <v>116</v>
      </c>
      <c r="C101" s="827">
        <v>593</v>
      </c>
      <c r="D101" s="827">
        <v>659</v>
      </c>
      <c r="E101" s="810">
        <v>538</v>
      </c>
      <c r="F101" s="810">
        <v>586</v>
      </c>
      <c r="G101" s="810">
        <v>613</v>
      </c>
      <c r="H101" s="810">
        <v>561</v>
      </c>
      <c r="I101" s="810">
        <v>602</v>
      </c>
      <c r="J101" s="810">
        <v>794</v>
      </c>
      <c r="K101" s="810">
        <v>808</v>
      </c>
      <c r="L101" s="810">
        <v>965</v>
      </c>
      <c r="M101" s="810">
        <v>996</v>
      </c>
      <c r="N101" s="810">
        <v>1038</v>
      </c>
      <c r="O101" s="810">
        <v>842</v>
      </c>
      <c r="P101" s="810">
        <v>649</v>
      </c>
      <c r="AD101" s="391"/>
      <c r="AE101" s="391"/>
      <c r="AF101" s="391"/>
      <c r="AG101" s="391"/>
      <c r="AH101" s="391"/>
      <c r="AI101" s="391"/>
      <c r="AJ101" s="391"/>
      <c r="AK101" s="391"/>
      <c r="AL101" s="391"/>
      <c r="AM101" s="391"/>
      <c r="AN101" s="391"/>
      <c r="AO101" s="391"/>
      <c r="AP101" s="391"/>
      <c r="AQ101" s="391"/>
      <c r="AR101" s="391"/>
      <c r="AS101" s="391"/>
      <c r="AT101" s="391"/>
      <c r="AU101" s="391"/>
      <c r="AV101" s="391"/>
      <c r="AW101" s="391"/>
      <c r="AX101" s="391"/>
      <c r="AY101" s="391"/>
      <c r="AZ101" s="391"/>
      <c r="BA101" s="391"/>
      <c r="BB101" s="391"/>
      <c r="BC101" s="391"/>
      <c r="BD101" s="391"/>
      <c r="BE101" s="391"/>
      <c r="BF101" s="391"/>
      <c r="BG101" s="391"/>
      <c r="BH101" s="391"/>
      <c r="BI101" s="391"/>
      <c r="BJ101" s="391"/>
      <c r="BK101" s="391"/>
      <c r="BL101" s="391"/>
      <c r="BM101" s="391"/>
      <c r="BN101" s="391"/>
      <c r="BO101" s="9"/>
    </row>
    <row r="102" spans="1:97">
      <c r="A102" s="1353"/>
      <c r="B102" s="809" t="s">
        <v>117</v>
      </c>
      <c r="C102" s="827">
        <v>526</v>
      </c>
      <c r="D102" s="827">
        <v>619</v>
      </c>
      <c r="E102" s="810">
        <v>511</v>
      </c>
      <c r="F102" s="810">
        <v>534</v>
      </c>
      <c r="G102" s="810">
        <v>544</v>
      </c>
      <c r="H102" s="810">
        <v>554</v>
      </c>
      <c r="I102" s="810">
        <v>567</v>
      </c>
      <c r="J102" s="810">
        <v>740</v>
      </c>
      <c r="K102" s="810">
        <v>776</v>
      </c>
      <c r="L102" s="810">
        <v>889</v>
      </c>
      <c r="M102" s="810">
        <v>960</v>
      </c>
      <c r="N102" s="810">
        <v>932</v>
      </c>
      <c r="O102" s="810">
        <v>815</v>
      </c>
      <c r="P102" s="810">
        <v>641</v>
      </c>
      <c r="AD102" s="391"/>
      <c r="AE102" s="391"/>
      <c r="AF102" s="391"/>
      <c r="AG102" s="391"/>
      <c r="AH102" s="391"/>
      <c r="AI102" s="391"/>
      <c r="AJ102" s="391"/>
      <c r="AK102" s="391"/>
      <c r="AL102" s="391"/>
      <c r="AM102" s="391"/>
      <c r="AN102" s="391"/>
      <c r="AO102" s="391"/>
      <c r="AP102" s="391"/>
      <c r="AQ102" s="391"/>
      <c r="AR102" s="391"/>
      <c r="AS102" s="391"/>
      <c r="AT102" s="391"/>
      <c r="AU102" s="391"/>
      <c r="AV102" s="391"/>
      <c r="AW102" s="391"/>
      <c r="AX102" s="391"/>
      <c r="AY102" s="391"/>
      <c r="AZ102" s="391"/>
      <c r="BA102" s="391"/>
      <c r="BB102" s="391"/>
      <c r="BC102" s="391"/>
      <c r="BD102" s="391"/>
      <c r="BE102" s="391"/>
      <c r="BF102" s="391"/>
      <c r="BG102" s="391"/>
      <c r="BH102" s="391"/>
      <c r="BI102" s="391"/>
      <c r="BJ102" s="391"/>
      <c r="BK102" s="391"/>
      <c r="BL102" s="391"/>
      <c r="BM102" s="391"/>
      <c r="BN102" s="391"/>
      <c r="BO102" s="9"/>
    </row>
    <row r="103" spans="1:97">
      <c r="A103" s="1353"/>
      <c r="B103" s="809" t="s">
        <v>118</v>
      </c>
      <c r="C103" s="827">
        <v>113</v>
      </c>
      <c r="D103" s="827">
        <v>133</v>
      </c>
      <c r="E103" s="810">
        <v>168</v>
      </c>
      <c r="F103" s="810">
        <v>167</v>
      </c>
      <c r="G103" s="810">
        <v>183</v>
      </c>
      <c r="H103" s="810">
        <v>182</v>
      </c>
      <c r="I103" s="810">
        <v>183</v>
      </c>
      <c r="J103" s="810">
        <v>254</v>
      </c>
      <c r="K103" s="810">
        <v>270</v>
      </c>
      <c r="L103" s="810">
        <v>324</v>
      </c>
      <c r="M103" s="810">
        <v>330</v>
      </c>
      <c r="N103" s="810">
        <v>329</v>
      </c>
      <c r="O103" s="810">
        <v>271</v>
      </c>
      <c r="P103" s="810">
        <v>214</v>
      </c>
      <c r="AD103" s="9"/>
      <c r="AE103" s="9"/>
      <c r="AF103" s="9"/>
      <c r="AG103" s="391"/>
      <c r="AH103" s="391"/>
      <c r="AI103" s="9"/>
      <c r="AJ103" s="9"/>
      <c r="AK103" s="9"/>
      <c r="AL103" s="9"/>
      <c r="AM103" s="9"/>
      <c r="AN103" s="9"/>
      <c r="AO103" s="9"/>
      <c r="AP103" s="9"/>
      <c r="AQ103" s="9"/>
      <c r="AR103" s="9"/>
      <c r="AS103" s="9"/>
      <c r="AT103" s="391"/>
      <c r="AU103" s="391"/>
      <c r="AV103" s="391"/>
      <c r="AW103" s="391"/>
      <c r="AX103" s="438"/>
      <c r="AY103" s="9"/>
      <c r="AZ103" s="9"/>
      <c r="BA103" s="9"/>
      <c r="BB103" s="9"/>
      <c r="BC103" s="9"/>
      <c r="BD103" s="9"/>
      <c r="BE103" s="9"/>
      <c r="BF103" s="9"/>
      <c r="BG103" s="9"/>
      <c r="BH103" s="9"/>
      <c r="BI103" s="9"/>
      <c r="BJ103" s="9"/>
      <c r="BK103" s="9"/>
      <c r="BL103" s="9"/>
      <c r="BM103" s="9"/>
      <c r="BN103" s="9"/>
      <c r="BO103" s="9"/>
    </row>
    <row r="104" spans="1:97">
      <c r="A104" s="1354"/>
      <c r="B104" s="807" t="s">
        <v>52</v>
      </c>
      <c r="C104" s="808">
        <v>16473</v>
      </c>
      <c r="D104" s="808">
        <v>17491</v>
      </c>
      <c r="E104" s="808">
        <v>16405</v>
      </c>
      <c r="F104" s="808">
        <v>17141</v>
      </c>
      <c r="G104" s="808">
        <v>17224</v>
      </c>
      <c r="H104" s="808">
        <v>17260</v>
      </c>
      <c r="I104" s="808">
        <v>17899</v>
      </c>
      <c r="J104" s="808">
        <v>22946</v>
      </c>
      <c r="K104" s="808">
        <v>23935</v>
      </c>
      <c r="L104" s="808">
        <v>26569</v>
      </c>
      <c r="M104" s="808">
        <v>28114</v>
      </c>
      <c r="N104" s="808">
        <v>28261</v>
      </c>
      <c r="O104" s="808">
        <v>24900</v>
      </c>
      <c r="P104" s="808">
        <f>SUM(P99:P103)</f>
        <v>19728</v>
      </c>
      <c r="AD104" s="9"/>
      <c r="AE104" s="9"/>
      <c r="AF104" s="9"/>
      <c r="AG104" s="391"/>
      <c r="AH104" s="391"/>
      <c r="AI104" s="9"/>
      <c r="AJ104" s="9"/>
      <c r="AK104" s="9"/>
      <c r="AL104" s="9"/>
      <c r="AM104" s="9"/>
      <c r="AN104" s="9"/>
      <c r="AO104" s="9"/>
      <c r="AP104" s="439"/>
      <c r="AQ104" s="439"/>
      <c r="AR104" s="439"/>
      <c r="AS104" s="439"/>
      <c r="AT104" s="439"/>
      <c r="AU104" s="439"/>
      <c r="AV104" s="439"/>
      <c r="AW104" s="439"/>
      <c r="AX104" s="440"/>
      <c r="AY104" s="439"/>
      <c r="AZ104" s="439"/>
      <c r="BA104" s="439"/>
      <c r="BB104" s="439"/>
      <c r="BC104" s="439"/>
      <c r="BD104" s="439"/>
      <c r="BE104" s="439"/>
      <c r="BF104" s="439"/>
      <c r="BG104" s="43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row>
    <row r="105" spans="1:97">
      <c r="A105" s="1352" t="s">
        <v>38</v>
      </c>
      <c r="B105" s="806">
        <v>1</v>
      </c>
      <c r="C105" s="826">
        <v>18337</v>
      </c>
      <c r="D105" s="826">
        <v>19406</v>
      </c>
      <c r="E105" s="436">
        <v>19867</v>
      </c>
      <c r="F105" s="436">
        <v>21114</v>
      </c>
      <c r="G105" s="436">
        <v>21050</v>
      </c>
      <c r="H105" s="436">
        <v>19862</v>
      </c>
      <c r="I105" s="811">
        <v>17776</v>
      </c>
      <c r="J105" s="811">
        <v>18223</v>
      </c>
      <c r="K105" s="811">
        <v>18315</v>
      </c>
      <c r="L105" s="811">
        <v>18066</v>
      </c>
      <c r="M105" s="811">
        <v>17933</v>
      </c>
      <c r="N105" s="811">
        <v>18066</v>
      </c>
      <c r="O105" s="811">
        <v>18326</v>
      </c>
      <c r="P105" s="811">
        <v>17218</v>
      </c>
      <c r="AD105" s="9"/>
      <c r="AE105" s="9"/>
      <c r="AF105" s="9"/>
      <c r="AG105" s="9"/>
      <c r="AH105" s="9"/>
      <c r="AI105" s="9"/>
      <c r="AJ105" s="9"/>
      <c r="AK105" s="9"/>
      <c r="AL105" s="9"/>
      <c r="AM105" s="9"/>
      <c r="AN105" s="9"/>
      <c r="AO105" s="9"/>
      <c r="AP105" s="439"/>
      <c r="AQ105" s="439"/>
      <c r="AR105" s="439"/>
      <c r="AS105" s="439"/>
      <c r="AT105" s="439"/>
      <c r="AU105" s="439"/>
      <c r="AV105" s="439"/>
      <c r="AW105" s="439"/>
      <c r="AX105" s="439"/>
      <c r="AY105" s="439"/>
      <c r="AZ105" s="439"/>
      <c r="BA105" s="439"/>
      <c r="BB105" s="439"/>
      <c r="BC105" s="439"/>
      <c r="BD105" s="439"/>
      <c r="BE105" s="439"/>
      <c r="BF105" s="439"/>
      <c r="BG105" s="43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row>
    <row r="106" spans="1:97">
      <c r="A106" s="1353"/>
      <c r="B106" s="809" t="s">
        <v>115</v>
      </c>
      <c r="C106" s="827">
        <v>6414</v>
      </c>
      <c r="D106" s="827">
        <v>7012</v>
      </c>
      <c r="E106" s="810">
        <v>7253</v>
      </c>
      <c r="F106" s="810">
        <v>7969</v>
      </c>
      <c r="G106" s="810">
        <v>7949</v>
      </c>
      <c r="H106" s="810">
        <v>7530</v>
      </c>
      <c r="I106" s="812">
        <v>6900</v>
      </c>
      <c r="J106" s="812">
        <v>7087</v>
      </c>
      <c r="K106" s="812">
        <v>7082</v>
      </c>
      <c r="L106" s="812">
        <v>7004</v>
      </c>
      <c r="M106" s="812">
        <v>7045</v>
      </c>
      <c r="N106" s="812">
        <v>7004</v>
      </c>
      <c r="O106" s="812">
        <v>7117</v>
      </c>
      <c r="P106" s="812">
        <v>7920</v>
      </c>
      <c r="AD106" s="9"/>
      <c r="AE106" s="9"/>
      <c r="AF106" s="9"/>
      <c r="AG106" s="9"/>
      <c r="AH106" s="9"/>
      <c r="AI106" s="9"/>
      <c r="AJ106" s="9"/>
      <c r="AK106" s="9"/>
      <c r="AL106" s="9"/>
      <c r="AM106" s="9"/>
      <c r="AN106" s="9"/>
      <c r="AO106" s="9"/>
      <c r="AP106" s="439"/>
      <c r="AQ106" s="439"/>
      <c r="AR106" s="439"/>
      <c r="AS106" s="439"/>
      <c r="AT106" s="439"/>
      <c r="AU106" s="439"/>
      <c r="AV106" s="439"/>
      <c r="AW106" s="439"/>
      <c r="AX106" s="439"/>
      <c r="AY106" s="439"/>
      <c r="AZ106" s="439"/>
      <c r="BA106" s="439"/>
      <c r="BB106" s="439"/>
      <c r="BC106" s="439"/>
      <c r="BD106" s="439"/>
      <c r="BE106" s="439"/>
      <c r="BF106" s="439"/>
      <c r="BG106" s="43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row>
    <row r="107" spans="1:97">
      <c r="A107" s="1353"/>
      <c r="B107" s="809" t="s">
        <v>116</v>
      </c>
      <c r="C107" s="827">
        <v>1242</v>
      </c>
      <c r="D107" s="827">
        <v>1293</v>
      </c>
      <c r="E107" s="810">
        <v>1383</v>
      </c>
      <c r="F107" s="810">
        <v>1431</v>
      </c>
      <c r="G107" s="810">
        <v>1476</v>
      </c>
      <c r="H107" s="810">
        <v>1316</v>
      </c>
      <c r="I107" s="812">
        <v>1202</v>
      </c>
      <c r="J107" s="812">
        <v>1189</v>
      </c>
      <c r="K107" s="812">
        <v>1190</v>
      </c>
      <c r="L107" s="812">
        <v>1209</v>
      </c>
      <c r="M107" s="812">
        <v>1215</v>
      </c>
      <c r="N107" s="812">
        <v>1209</v>
      </c>
      <c r="O107" s="812">
        <v>1261</v>
      </c>
      <c r="P107" s="812">
        <v>1369</v>
      </c>
      <c r="AD107" s="9"/>
      <c r="AE107" s="9"/>
      <c r="AF107" s="9"/>
      <c r="AG107" s="9"/>
      <c r="AH107" s="9"/>
      <c r="AI107" s="9"/>
      <c r="AJ107" s="9"/>
      <c r="AK107" s="9"/>
      <c r="AL107" s="9"/>
      <c r="AM107" s="9"/>
      <c r="AN107" s="9"/>
      <c r="AO107" s="9"/>
      <c r="AP107" s="439"/>
      <c r="AQ107" s="439"/>
      <c r="AR107" s="439"/>
      <c r="AS107" s="439"/>
      <c r="AT107" s="439"/>
      <c r="AU107" s="439"/>
      <c r="AV107" s="439"/>
      <c r="AW107" s="439"/>
      <c r="AX107" s="439"/>
      <c r="AY107" s="439"/>
      <c r="AZ107" s="439"/>
      <c r="BA107" s="439"/>
      <c r="BB107" s="439"/>
      <c r="BC107" s="439"/>
      <c r="BD107" s="439"/>
      <c r="BE107" s="439"/>
      <c r="BF107" s="439"/>
      <c r="BG107" s="43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row>
    <row r="108" spans="1:97">
      <c r="A108" s="1353"/>
      <c r="B108" s="809" t="s">
        <v>117</v>
      </c>
      <c r="C108" s="827">
        <v>1342</v>
      </c>
      <c r="D108" s="827">
        <v>1509</v>
      </c>
      <c r="E108" s="810">
        <v>1548</v>
      </c>
      <c r="F108" s="810">
        <v>1677</v>
      </c>
      <c r="G108" s="810">
        <v>1677</v>
      </c>
      <c r="H108" s="810">
        <v>1503</v>
      </c>
      <c r="I108" s="812">
        <v>1352</v>
      </c>
      <c r="J108" s="812">
        <v>1416</v>
      </c>
      <c r="K108" s="812">
        <v>1398</v>
      </c>
      <c r="L108" s="812">
        <v>1364</v>
      </c>
      <c r="M108" s="812">
        <v>1264</v>
      </c>
      <c r="N108" s="812">
        <v>1364</v>
      </c>
      <c r="O108" s="812">
        <v>1312</v>
      </c>
      <c r="P108" s="812">
        <v>1465</v>
      </c>
      <c r="AD108" s="9"/>
      <c r="AE108" s="9"/>
      <c r="AF108" s="9"/>
      <c r="AG108" s="9"/>
      <c r="AH108" s="9"/>
      <c r="AI108" s="9"/>
      <c r="AJ108" s="9"/>
      <c r="AK108" s="9"/>
      <c r="AL108" s="9"/>
      <c r="AM108" s="9"/>
      <c r="AN108" s="9"/>
      <c r="AO108" s="9"/>
      <c r="AP108" s="439"/>
      <c r="AQ108" s="439"/>
      <c r="AR108" s="439"/>
      <c r="AS108" s="439"/>
      <c r="AT108" s="439"/>
      <c r="AU108" s="439"/>
      <c r="AV108" s="439"/>
      <c r="AW108" s="439"/>
      <c r="AX108" s="439"/>
      <c r="AY108" s="439"/>
      <c r="AZ108" s="439"/>
      <c r="BA108" s="439"/>
      <c r="BB108" s="439"/>
      <c r="BC108" s="439"/>
      <c r="BD108" s="439"/>
      <c r="BE108" s="439"/>
      <c r="BF108" s="439"/>
      <c r="BG108" s="43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row>
    <row r="109" spans="1:97">
      <c r="A109" s="1353"/>
      <c r="B109" s="809" t="s">
        <v>118</v>
      </c>
      <c r="C109" s="827">
        <v>529</v>
      </c>
      <c r="D109" s="827">
        <v>607</v>
      </c>
      <c r="E109" s="810">
        <v>639</v>
      </c>
      <c r="F109" s="810">
        <v>720</v>
      </c>
      <c r="G109" s="810">
        <v>708</v>
      </c>
      <c r="H109" s="810">
        <v>618</v>
      </c>
      <c r="I109" s="812">
        <v>522</v>
      </c>
      <c r="J109" s="812">
        <v>545</v>
      </c>
      <c r="K109" s="812">
        <v>547</v>
      </c>
      <c r="L109" s="812">
        <v>537</v>
      </c>
      <c r="M109" s="812">
        <v>508</v>
      </c>
      <c r="N109" s="812">
        <v>537</v>
      </c>
      <c r="O109" s="812">
        <v>516</v>
      </c>
      <c r="P109" s="812">
        <v>560</v>
      </c>
      <c r="AD109" s="9"/>
      <c r="AE109" s="9"/>
      <c r="AF109" s="9"/>
      <c r="AG109" s="9"/>
      <c r="AH109" s="9"/>
      <c r="AI109" s="9"/>
      <c r="AJ109" s="9"/>
      <c r="AK109" s="9"/>
      <c r="AL109" s="9"/>
      <c r="AM109" s="9"/>
      <c r="AN109" s="9"/>
      <c r="AO109" s="9"/>
      <c r="AP109" s="439"/>
      <c r="AQ109" s="439"/>
      <c r="AR109" s="439"/>
      <c r="AS109" s="439"/>
      <c r="AT109" s="439"/>
      <c r="AU109" s="439"/>
      <c r="AV109" s="439"/>
      <c r="AW109" s="439"/>
      <c r="AX109" s="439"/>
      <c r="AY109" s="439"/>
      <c r="AZ109" s="439"/>
      <c r="BA109" s="439"/>
      <c r="BB109" s="439"/>
      <c r="BC109" s="439"/>
      <c r="BD109" s="439"/>
      <c r="BE109" s="439"/>
      <c r="BF109" s="439"/>
      <c r="BG109" s="43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row>
    <row r="110" spans="1:97">
      <c r="A110" s="1354"/>
      <c r="B110" s="807" t="s">
        <v>52</v>
      </c>
      <c r="C110" s="808">
        <v>27864</v>
      </c>
      <c r="D110" s="808">
        <v>29827</v>
      </c>
      <c r="E110" s="808">
        <v>30690</v>
      </c>
      <c r="F110" s="808">
        <v>32911</v>
      </c>
      <c r="G110" s="808">
        <v>32860</v>
      </c>
      <c r="H110" s="808">
        <v>30829</v>
      </c>
      <c r="I110" s="808">
        <v>27752</v>
      </c>
      <c r="J110" s="808">
        <v>28460</v>
      </c>
      <c r="K110" s="808">
        <v>28532</v>
      </c>
      <c r="L110" s="808">
        <v>28180</v>
      </c>
      <c r="M110" s="808">
        <v>27965</v>
      </c>
      <c r="N110" s="808">
        <v>28180</v>
      </c>
      <c r="O110" s="808">
        <v>28532</v>
      </c>
      <c r="P110" s="808">
        <f>SUM(P105:P109)</f>
        <v>28532</v>
      </c>
      <c r="AD110" s="9"/>
      <c r="AE110" s="9"/>
      <c r="AF110" s="9"/>
      <c r="AG110" s="9"/>
      <c r="AH110" s="9"/>
      <c r="AI110" s="9"/>
      <c r="AJ110" s="9"/>
      <c r="AK110" s="9"/>
      <c r="AL110" s="9"/>
      <c r="AM110" s="9"/>
      <c r="AN110" s="9"/>
      <c r="AO110" s="9"/>
      <c r="AP110" s="439"/>
      <c r="AQ110" s="439"/>
      <c r="AR110" s="439"/>
      <c r="AS110" s="439"/>
      <c r="AT110" s="439"/>
      <c r="AU110" s="439"/>
      <c r="AV110" s="439"/>
      <c r="AW110" s="439"/>
      <c r="AX110" s="439"/>
      <c r="AY110" s="439"/>
      <c r="AZ110" s="439"/>
      <c r="BA110" s="439"/>
      <c r="BB110" s="439"/>
      <c r="BC110" s="439"/>
      <c r="BD110" s="439"/>
      <c r="BE110" s="439"/>
      <c r="BF110" s="439"/>
      <c r="BG110" s="43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row>
    <row r="111" spans="1:97">
      <c r="A111" s="1352" t="s">
        <v>42</v>
      </c>
      <c r="B111" s="806">
        <v>1</v>
      </c>
      <c r="C111" s="826">
        <v>11601</v>
      </c>
      <c r="D111" s="826">
        <v>13081</v>
      </c>
      <c r="E111" s="436">
        <v>15959</v>
      </c>
      <c r="F111" s="436">
        <v>21123</v>
      </c>
      <c r="G111" s="436">
        <v>27417</v>
      </c>
      <c r="H111" s="436">
        <v>26985</v>
      </c>
      <c r="I111" s="811">
        <v>20086</v>
      </c>
      <c r="J111" s="811">
        <v>21358</v>
      </c>
      <c r="K111" s="811">
        <v>24107</v>
      </c>
      <c r="L111" s="811">
        <v>25159</v>
      </c>
      <c r="M111" s="811">
        <v>26238</v>
      </c>
      <c r="N111" s="811">
        <v>28153</v>
      </c>
      <c r="O111" s="811">
        <v>29527</v>
      </c>
      <c r="P111" s="811">
        <v>27312</v>
      </c>
      <c r="AD111" s="9"/>
      <c r="AE111" s="9"/>
      <c r="AF111" s="9"/>
      <c r="AG111" s="9"/>
      <c r="AH111" s="9"/>
      <c r="AI111" s="9"/>
      <c r="AJ111" s="9"/>
      <c r="AK111" s="9"/>
      <c r="AL111" s="9"/>
      <c r="AM111" s="9"/>
      <c r="AN111" s="9"/>
      <c r="AO111" s="9"/>
      <c r="AP111" s="439"/>
      <c r="AQ111" s="439"/>
      <c r="AR111" s="439"/>
      <c r="AS111" s="439"/>
      <c r="AT111" s="439"/>
      <c r="AU111" s="439"/>
      <c r="AV111" s="439"/>
      <c r="AW111" s="439"/>
      <c r="AX111" s="439"/>
      <c r="AY111" s="439"/>
      <c r="AZ111" s="439"/>
      <c r="BA111" s="439"/>
      <c r="BB111" s="439"/>
      <c r="BC111" s="439"/>
      <c r="BD111" s="439"/>
      <c r="BE111" s="439"/>
      <c r="BF111" s="439"/>
      <c r="BG111" s="43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row>
    <row r="112" spans="1:97">
      <c r="A112" s="1353"/>
      <c r="B112" s="809" t="s">
        <v>115</v>
      </c>
      <c r="C112" s="827">
        <v>4764</v>
      </c>
      <c r="D112" s="827">
        <v>5740</v>
      </c>
      <c r="E112" s="810">
        <v>7483</v>
      </c>
      <c r="F112" s="810">
        <v>8530</v>
      </c>
      <c r="G112" s="810">
        <v>11074</v>
      </c>
      <c r="H112" s="810">
        <v>10966</v>
      </c>
      <c r="I112" s="812">
        <v>7619</v>
      </c>
      <c r="J112" s="812">
        <v>8099</v>
      </c>
      <c r="K112" s="812">
        <v>9290</v>
      </c>
      <c r="L112" s="812">
        <v>9701</v>
      </c>
      <c r="M112" s="812">
        <v>10179</v>
      </c>
      <c r="N112" s="812">
        <v>11095</v>
      </c>
      <c r="O112" s="812">
        <v>11945</v>
      </c>
      <c r="P112" s="812">
        <v>10851</v>
      </c>
      <c r="Q112" s="9"/>
      <c r="R112" s="9"/>
      <c r="S112" s="9"/>
      <c r="T112" s="9"/>
      <c r="U112" s="9"/>
      <c r="V112" s="9"/>
      <c r="W112" s="9"/>
      <c r="X112" s="9"/>
      <c r="Y112" s="9"/>
      <c r="Z112" s="9"/>
      <c r="AA112" s="9"/>
      <c r="AB112" s="1115"/>
      <c r="AC112" s="9"/>
      <c r="AD112" s="9"/>
      <c r="AE112" s="9"/>
      <c r="AF112" s="9"/>
      <c r="AG112" s="9"/>
      <c r="AH112" s="9"/>
      <c r="AI112" s="9"/>
      <c r="AJ112" s="9"/>
      <c r="AK112" s="9"/>
      <c r="AL112" s="9"/>
      <c r="AM112" s="9"/>
      <c r="AN112" s="9"/>
      <c r="AO112" s="9"/>
      <c r="AP112" s="439"/>
      <c r="AQ112" s="439"/>
      <c r="AR112" s="439"/>
      <c r="AS112" s="439"/>
      <c r="AT112" s="439"/>
      <c r="AU112" s="439"/>
      <c r="AV112" s="439"/>
      <c r="AW112" s="439"/>
      <c r="AX112" s="439"/>
      <c r="AY112" s="439"/>
      <c r="AZ112" s="439"/>
      <c r="BA112" s="439"/>
      <c r="BB112" s="439"/>
      <c r="BC112" s="439"/>
      <c r="BD112" s="439"/>
      <c r="BE112" s="439"/>
      <c r="BF112" s="439"/>
      <c r="BG112" s="43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row>
    <row r="113" spans="1:96">
      <c r="A113" s="1353"/>
      <c r="B113" s="809" t="s">
        <v>116</v>
      </c>
      <c r="C113" s="827">
        <v>495</v>
      </c>
      <c r="D113" s="827">
        <v>611</v>
      </c>
      <c r="E113" s="810">
        <v>881</v>
      </c>
      <c r="F113" s="810">
        <v>1002</v>
      </c>
      <c r="G113" s="810">
        <v>1303</v>
      </c>
      <c r="H113" s="810">
        <v>1197</v>
      </c>
      <c r="I113" s="812">
        <v>812</v>
      </c>
      <c r="J113" s="812">
        <v>835</v>
      </c>
      <c r="K113" s="812">
        <v>963</v>
      </c>
      <c r="L113" s="812">
        <v>955</v>
      </c>
      <c r="M113" s="812">
        <v>985</v>
      </c>
      <c r="N113" s="812">
        <v>1063</v>
      </c>
      <c r="O113" s="812">
        <v>1222</v>
      </c>
      <c r="P113" s="812">
        <v>1129</v>
      </c>
      <c r="Q113" s="9"/>
      <c r="R113" s="9"/>
      <c r="S113" s="9"/>
      <c r="T113" s="9"/>
      <c r="U113" s="9"/>
      <c r="V113" s="9"/>
      <c r="W113" s="9"/>
      <c r="X113" s="9"/>
      <c r="Y113" s="9"/>
      <c r="Z113" s="9"/>
      <c r="AA113" s="9"/>
      <c r="AB113" s="1115"/>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row>
    <row r="114" spans="1:96">
      <c r="A114" s="1353"/>
      <c r="B114" s="809" t="s">
        <v>117</v>
      </c>
      <c r="C114" s="827">
        <v>357</v>
      </c>
      <c r="D114" s="827">
        <v>461</v>
      </c>
      <c r="E114" s="810">
        <v>592</v>
      </c>
      <c r="F114" s="810">
        <v>705</v>
      </c>
      <c r="G114" s="810">
        <v>819</v>
      </c>
      <c r="H114" s="810">
        <v>850</v>
      </c>
      <c r="I114" s="812">
        <v>600</v>
      </c>
      <c r="J114" s="812">
        <v>641</v>
      </c>
      <c r="K114" s="812">
        <v>679</v>
      </c>
      <c r="L114" s="812">
        <v>694</v>
      </c>
      <c r="M114" s="812">
        <v>723</v>
      </c>
      <c r="N114" s="812">
        <v>739</v>
      </c>
      <c r="O114" s="812">
        <v>809</v>
      </c>
      <c r="P114" s="812">
        <v>751</v>
      </c>
      <c r="Q114" s="9"/>
      <c r="R114" s="9"/>
      <c r="S114" s="9"/>
      <c r="T114" s="9"/>
      <c r="U114" s="9"/>
      <c r="V114" s="9"/>
      <c r="W114" s="9"/>
      <c r="X114" s="9"/>
      <c r="Y114" s="9"/>
      <c r="Z114" s="9"/>
      <c r="AA114" s="9"/>
      <c r="AB114" s="1115"/>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row>
    <row r="115" spans="1:96">
      <c r="A115" s="1353"/>
      <c r="B115" s="809" t="s">
        <v>118</v>
      </c>
      <c r="C115" s="827">
        <v>110</v>
      </c>
      <c r="D115" s="827">
        <v>135</v>
      </c>
      <c r="E115" s="810">
        <v>195</v>
      </c>
      <c r="F115" s="810">
        <v>235</v>
      </c>
      <c r="G115" s="810">
        <v>279</v>
      </c>
      <c r="H115" s="810">
        <v>279</v>
      </c>
      <c r="I115" s="812">
        <v>224</v>
      </c>
      <c r="J115" s="812">
        <v>224</v>
      </c>
      <c r="K115" s="812">
        <v>250</v>
      </c>
      <c r="L115" s="812">
        <v>235</v>
      </c>
      <c r="M115" s="812">
        <v>239</v>
      </c>
      <c r="N115" s="812">
        <v>256</v>
      </c>
      <c r="O115" s="812">
        <v>279</v>
      </c>
      <c r="P115" s="812">
        <v>261</v>
      </c>
      <c r="Q115" s="9"/>
      <c r="R115" s="9"/>
      <c r="S115" s="9"/>
      <c r="T115" s="9"/>
      <c r="U115" s="9"/>
      <c r="V115" s="9"/>
      <c r="W115" s="9"/>
      <c r="X115" s="9"/>
      <c r="Y115" s="9"/>
      <c r="Z115" s="9"/>
      <c r="AA115" s="9"/>
      <c r="AB115" s="1115"/>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row>
    <row r="116" spans="1:96">
      <c r="A116" s="1354"/>
      <c r="B116" s="807" t="s">
        <v>52</v>
      </c>
      <c r="C116" s="808">
        <v>17327</v>
      </c>
      <c r="D116" s="808">
        <v>20028</v>
      </c>
      <c r="E116" s="808">
        <v>25110</v>
      </c>
      <c r="F116" s="808">
        <v>31595</v>
      </c>
      <c r="G116" s="808">
        <v>40892</v>
      </c>
      <c r="H116" s="808">
        <v>40277</v>
      </c>
      <c r="I116" s="808">
        <v>29341</v>
      </c>
      <c r="J116" s="808">
        <v>31157</v>
      </c>
      <c r="K116" s="808">
        <v>35289</v>
      </c>
      <c r="L116" s="808">
        <v>36744</v>
      </c>
      <c r="M116" s="808">
        <v>38364</v>
      </c>
      <c r="N116" s="808">
        <v>41306</v>
      </c>
      <c r="O116" s="808">
        <v>43782</v>
      </c>
      <c r="P116" s="808">
        <f>SUM(P111:P115)</f>
        <v>40304</v>
      </c>
      <c r="Q116" s="9"/>
      <c r="R116" s="9"/>
      <c r="S116" s="9"/>
      <c r="T116" s="9"/>
      <c r="U116" s="9"/>
      <c r="V116" s="9"/>
      <c r="W116" s="9"/>
      <c r="X116" s="9"/>
      <c r="Y116" s="9"/>
      <c r="Z116" s="9"/>
      <c r="AA116" s="9"/>
      <c r="AB116" s="1115"/>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row>
    <row r="117" spans="1:96">
      <c r="A117" s="1352" t="s">
        <v>43</v>
      </c>
      <c r="B117" s="806">
        <v>1</v>
      </c>
      <c r="C117" s="826"/>
      <c r="D117" s="828">
        <v>24194</v>
      </c>
      <c r="E117" s="26">
        <v>30086</v>
      </c>
      <c r="F117" s="436">
        <v>35799</v>
      </c>
      <c r="G117" s="26">
        <v>36153</v>
      </c>
      <c r="H117" s="436">
        <v>38371</v>
      </c>
      <c r="I117" s="811">
        <v>50644</v>
      </c>
      <c r="J117" s="811">
        <v>55914</v>
      </c>
      <c r="K117" s="813">
        <v>58928</v>
      </c>
      <c r="L117" s="813">
        <v>61677</v>
      </c>
      <c r="M117" s="813">
        <v>60190</v>
      </c>
      <c r="N117" s="813">
        <v>64822</v>
      </c>
      <c r="O117" s="1125"/>
      <c r="P117" s="813">
        <v>98525</v>
      </c>
      <c r="Q117" s="9"/>
      <c r="R117" s="9"/>
      <c r="S117" s="9"/>
      <c r="T117" s="9"/>
      <c r="U117" s="9"/>
      <c r="V117" s="9"/>
      <c r="W117" s="9"/>
      <c r="X117" s="9"/>
      <c r="Y117" s="9"/>
      <c r="Z117" s="9"/>
      <c r="AA117" s="9"/>
      <c r="AB117" s="1115"/>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row>
    <row r="118" spans="1:96">
      <c r="A118" s="1353"/>
      <c r="B118" s="809" t="s">
        <v>115</v>
      </c>
      <c r="C118" s="827"/>
      <c r="D118" s="827">
        <v>8056</v>
      </c>
      <c r="E118" s="810">
        <v>11042</v>
      </c>
      <c r="F118" s="810">
        <v>14310</v>
      </c>
      <c r="G118" s="810">
        <v>14502</v>
      </c>
      <c r="H118" s="810">
        <v>16036</v>
      </c>
      <c r="I118" s="812">
        <v>24105</v>
      </c>
      <c r="J118" s="812">
        <v>27161</v>
      </c>
      <c r="K118" s="814">
        <v>27317</v>
      </c>
      <c r="L118" s="814">
        <v>28988</v>
      </c>
      <c r="M118" s="814">
        <v>26733</v>
      </c>
      <c r="N118" s="814">
        <v>30760</v>
      </c>
      <c r="O118" s="1126"/>
      <c r="P118" s="814">
        <v>49990</v>
      </c>
      <c r="Q118" s="9"/>
      <c r="R118" s="9"/>
      <c r="S118" s="9"/>
      <c r="T118" s="9"/>
      <c r="U118" s="9"/>
      <c r="V118" s="9"/>
      <c r="W118" s="9"/>
      <c r="X118" s="9"/>
      <c r="Y118" s="9"/>
      <c r="Z118" s="9"/>
      <c r="AA118" s="9"/>
      <c r="AB118" s="1115"/>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439"/>
      <c r="BW118" s="439"/>
      <c r="BX118" s="439"/>
      <c r="BY118" s="439"/>
      <c r="BZ118" s="439"/>
      <c r="CA118" s="439"/>
      <c r="CB118" s="9"/>
      <c r="CC118" s="9"/>
      <c r="CD118" s="9"/>
      <c r="CE118" s="9"/>
      <c r="CF118" s="9"/>
      <c r="CG118" s="9"/>
      <c r="CH118" s="9"/>
      <c r="CI118" s="9"/>
      <c r="CJ118" s="9"/>
      <c r="CK118" s="9"/>
      <c r="CL118" s="9"/>
      <c r="CM118" s="9"/>
      <c r="CN118" s="9"/>
      <c r="CO118" s="9"/>
      <c r="CP118" s="439"/>
      <c r="CQ118" s="439"/>
      <c r="CR118" s="9"/>
    </row>
    <row r="119" spans="1:96">
      <c r="A119" s="1353"/>
      <c r="B119" s="809" t="s">
        <v>116</v>
      </c>
      <c r="C119" s="827"/>
      <c r="D119" s="827">
        <v>1147</v>
      </c>
      <c r="E119" s="810">
        <v>1545</v>
      </c>
      <c r="F119" s="810">
        <v>2014</v>
      </c>
      <c r="G119" s="810">
        <v>2072</v>
      </c>
      <c r="H119" s="810">
        <v>2377</v>
      </c>
      <c r="I119" s="812">
        <v>3843</v>
      </c>
      <c r="J119" s="812">
        <v>4382</v>
      </c>
      <c r="K119" s="814">
        <v>4301</v>
      </c>
      <c r="L119" s="814">
        <v>4671</v>
      </c>
      <c r="M119" s="814">
        <v>4280</v>
      </c>
      <c r="N119" s="814">
        <v>5336</v>
      </c>
      <c r="O119" s="1126"/>
      <c r="P119" s="814">
        <v>7413</v>
      </c>
      <c r="Q119" s="9"/>
      <c r="R119" s="9"/>
      <c r="S119" s="9"/>
      <c r="T119" s="9"/>
      <c r="U119" s="9"/>
      <c r="V119" s="9"/>
      <c r="W119" s="9"/>
      <c r="X119" s="9"/>
      <c r="Y119" s="9"/>
      <c r="Z119" s="9"/>
      <c r="AA119" s="9"/>
      <c r="AB119" s="1115"/>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439"/>
      <c r="BW119" s="439"/>
      <c r="BX119" s="439"/>
      <c r="BY119" s="439"/>
      <c r="BZ119" s="439"/>
      <c r="CA119" s="439"/>
      <c r="CB119" s="9"/>
      <c r="CC119" s="9"/>
      <c r="CD119" s="9"/>
      <c r="CE119" s="9"/>
      <c r="CF119" s="9"/>
      <c r="CG119" s="9"/>
      <c r="CH119" s="9"/>
      <c r="CI119" s="9"/>
      <c r="CJ119" s="9"/>
      <c r="CK119" s="9"/>
      <c r="CL119" s="9"/>
      <c r="CM119" s="9"/>
      <c r="CN119" s="9"/>
      <c r="CO119" s="9"/>
      <c r="CP119" s="439"/>
      <c r="CQ119" s="439"/>
      <c r="CR119" s="9"/>
    </row>
    <row r="120" spans="1:96">
      <c r="A120" s="1353"/>
      <c r="B120" s="809" t="s">
        <v>117</v>
      </c>
      <c r="C120" s="827"/>
      <c r="D120" s="827">
        <v>1064</v>
      </c>
      <c r="E120" s="810">
        <v>1349</v>
      </c>
      <c r="F120" s="810">
        <v>1772</v>
      </c>
      <c r="G120" s="810">
        <v>1789</v>
      </c>
      <c r="H120" s="810">
        <v>1989</v>
      </c>
      <c r="I120" s="812">
        <v>3040</v>
      </c>
      <c r="J120" s="812">
        <v>3513</v>
      </c>
      <c r="K120" s="814">
        <v>3316</v>
      </c>
      <c r="L120" s="814">
        <v>3446</v>
      </c>
      <c r="M120" s="814">
        <v>3334</v>
      </c>
      <c r="N120" s="814">
        <v>4010</v>
      </c>
      <c r="O120" s="1126"/>
      <c r="P120" s="814">
        <v>5989</v>
      </c>
      <c r="Q120" s="9"/>
      <c r="R120" s="9"/>
      <c r="S120" s="9"/>
      <c r="T120" s="9"/>
      <c r="U120" s="9"/>
      <c r="V120" s="9"/>
      <c r="W120" s="9"/>
      <c r="X120" s="9"/>
      <c r="Y120" s="9"/>
      <c r="Z120" s="9"/>
      <c r="AA120" s="9"/>
      <c r="AB120" s="1115"/>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439"/>
      <c r="BW120" s="439"/>
      <c r="BX120" s="439"/>
      <c r="BY120" s="439"/>
      <c r="BZ120" s="439"/>
      <c r="CA120" s="439"/>
      <c r="CB120" s="9"/>
      <c r="CC120" s="9"/>
      <c r="CD120" s="9"/>
      <c r="CE120" s="9"/>
      <c r="CF120" s="9"/>
      <c r="CG120" s="9"/>
      <c r="CH120" s="9"/>
      <c r="CI120" s="9"/>
      <c r="CJ120" s="9"/>
      <c r="CK120" s="9"/>
      <c r="CL120" s="9"/>
      <c r="CM120" s="9"/>
      <c r="CN120" s="9"/>
      <c r="CO120" s="9"/>
      <c r="CP120" s="439"/>
      <c r="CQ120" s="439"/>
      <c r="CR120" s="9"/>
    </row>
    <row r="121" spans="1:96">
      <c r="A121" s="1353"/>
      <c r="B121" s="809" t="s">
        <v>118</v>
      </c>
      <c r="C121" s="827"/>
      <c r="D121" s="827">
        <v>291</v>
      </c>
      <c r="E121" s="810">
        <v>412</v>
      </c>
      <c r="F121" s="810">
        <v>507</v>
      </c>
      <c r="G121" s="810">
        <v>477</v>
      </c>
      <c r="H121" s="810">
        <v>533</v>
      </c>
      <c r="I121" s="812">
        <v>783</v>
      </c>
      <c r="J121" s="812">
        <v>891</v>
      </c>
      <c r="K121" s="814">
        <v>954</v>
      </c>
      <c r="L121" s="814">
        <v>941</v>
      </c>
      <c r="M121" s="814">
        <v>1046</v>
      </c>
      <c r="N121" s="814">
        <v>1177</v>
      </c>
      <c r="O121" s="1126"/>
      <c r="P121" s="814">
        <v>1692</v>
      </c>
      <c r="Q121" s="9"/>
      <c r="R121" s="9"/>
      <c r="S121" s="9"/>
      <c r="T121" s="9"/>
      <c r="U121" s="9"/>
      <c r="V121" s="9"/>
      <c r="W121" s="9"/>
      <c r="X121" s="9"/>
      <c r="Y121" s="9"/>
      <c r="Z121" s="9"/>
      <c r="AA121" s="9"/>
      <c r="AB121" s="1115"/>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439"/>
      <c r="BW121" s="439"/>
      <c r="BX121" s="439"/>
      <c r="BY121" s="439"/>
      <c r="BZ121" s="439"/>
      <c r="CA121" s="439"/>
      <c r="CB121" s="9"/>
      <c r="CC121" s="9"/>
      <c r="CD121" s="9"/>
      <c r="CE121" s="9"/>
      <c r="CF121" s="9"/>
      <c r="CG121" s="9"/>
      <c r="CH121" s="9"/>
      <c r="CI121" s="9"/>
      <c r="CJ121" s="9"/>
      <c r="CK121" s="9"/>
      <c r="CL121" s="9"/>
      <c r="CM121" s="9"/>
      <c r="CN121" s="9"/>
      <c r="CO121" s="9"/>
      <c r="CP121" s="439"/>
      <c r="CQ121" s="439"/>
      <c r="CR121" s="9"/>
    </row>
    <row r="122" spans="1:96">
      <c r="A122" s="1354"/>
      <c r="B122" s="807" t="s">
        <v>52</v>
      </c>
      <c r="C122" s="808">
        <v>0</v>
      </c>
      <c r="D122" s="808">
        <v>34752</v>
      </c>
      <c r="E122" s="808">
        <v>44434</v>
      </c>
      <c r="F122" s="808">
        <v>54402</v>
      </c>
      <c r="G122" s="808">
        <v>54993</v>
      </c>
      <c r="H122" s="808">
        <v>59306</v>
      </c>
      <c r="I122" s="808">
        <v>82415</v>
      </c>
      <c r="J122" s="808">
        <v>91861</v>
      </c>
      <c r="K122" s="808">
        <v>94816</v>
      </c>
      <c r="L122" s="34">
        <v>99723</v>
      </c>
      <c r="M122" s="34">
        <v>95583</v>
      </c>
      <c r="N122" s="34">
        <v>106105</v>
      </c>
      <c r="O122" s="1127"/>
      <c r="P122" s="34">
        <f>SUM(P117:P121)</f>
        <v>163609</v>
      </c>
      <c r="Q122" s="9"/>
      <c r="R122" s="9"/>
      <c r="S122" s="9"/>
      <c r="T122" s="9"/>
      <c r="U122" s="9"/>
      <c r="V122" s="9"/>
      <c r="W122" s="9"/>
      <c r="X122" s="9"/>
      <c r="Y122" s="9"/>
      <c r="Z122" s="9"/>
      <c r="AA122" s="9"/>
      <c r="AB122" s="1115"/>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439"/>
      <c r="BW122" s="439"/>
      <c r="BX122" s="439"/>
      <c r="BY122" s="439"/>
      <c r="BZ122" s="439"/>
      <c r="CA122" s="439"/>
      <c r="CB122" s="9"/>
      <c r="CC122" s="9"/>
      <c r="CD122" s="9"/>
      <c r="CE122" s="9"/>
      <c r="CF122" s="9"/>
      <c r="CG122" s="9"/>
      <c r="CH122" s="9"/>
      <c r="CI122" s="9"/>
      <c r="CJ122" s="9"/>
      <c r="CK122" s="9"/>
      <c r="CL122" s="9"/>
      <c r="CM122" s="9"/>
      <c r="CN122" s="9"/>
      <c r="CO122" s="9"/>
      <c r="CP122" s="439"/>
      <c r="CQ122" s="439"/>
      <c r="CR122" s="9"/>
    </row>
    <row r="123" spans="1:96">
      <c r="A123" s="1352" t="s">
        <v>44</v>
      </c>
      <c r="B123" s="806">
        <v>1</v>
      </c>
      <c r="C123" s="828">
        <v>14995</v>
      </c>
      <c r="D123" s="826">
        <v>17650</v>
      </c>
      <c r="E123" s="26">
        <v>30686</v>
      </c>
      <c r="F123" s="436">
        <v>33594</v>
      </c>
      <c r="G123" s="26">
        <v>36468</v>
      </c>
      <c r="H123" s="436">
        <v>38195</v>
      </c>
      <c r="I123" s="811">
        <v>37864</v>
      </c>
      <c r="J123" s="811">
        <v>38339</v>
      </c>
      <c r="K123" s="813">
        <v>39873</v>
      </c>
      <c r="L123" s="813">
        <v>40370</v>
      </c>
      <c r="M123" s="813">
        <v>44633</v>
      </c>
      <c r="N123" s="813">
        <v>45579</v>
      </c>
      <c r="O123" s="813">
        <v>45001</v>
      </c>
      <c r="P123" s="813">
        <v>45342</v>
      </c>
      <c r="Q123" s="9"/>
      <c r="R123" s="9"/>
      <c r="S123" s="9"/>
      <c r="T123" s="9"/>
      <c r="U123" s="9"/>
      <c r="V123" s="9"/>
      <c r="W123" s="9"/>
      <c r="X123" s="9"/>
      <c r="Y123" s="9"/>
      <c r="Z123" s="9"/>
      <c r="AA123" s="9"/>
      <c r="AB123" s="1115"/>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439"/>
      <c r="BW123" s="439"/>
      <c r="BX123" s="439"/>
      <c r="BY123" s="439"/>
      <c r="BZ123" s="439"/>
      <c r="CA123" s="439"/>
      <c r="CB123" s="9"/>
      <c r="CC123" s="9"/>
      <c r="CD123" s="9"/>
      <c r="CE123" s="9"/>
      <c r="CF123" s="9"/>
      <c r="CG123" s="9"/>
      <c r="CH123" s="9"/>
      <c r="CI123" s="9"/>
      <c r="CJ123" s="9"/>
      <c r="CK123" s="9"/>
      <c r="CL123" s="9"/>
      <c r="CM123" s="9"/>
      <c r="CN123" s="9"/>
      <c r="CO123" s="9"/>
      <c r="CP123" s="439"/>
      <c r="CQ123" s="439"/>
      <c r="CR123" s="9"/>
    </row>
    <row r="124" spans="1:96">
      <c r="A124" s="1353"/>
      <c r="B124" s="809" t="s">
        <v>115</v>
      </c>
      <c r="C124" s="827">
        <v>6449</v>
      </c>
      <c r="D124" s="827">
        <v>8181</v>
      </c>
      <c r="E124" s="810">
        <v>9517</v>
      </c>
      <c r="F124" s="810">
        <v>10694</v>
      </c>
      <c r="G124" s="810">
        <v>11755</v>
      </c>
      <c r="H124" s="810">
        <v>12327</v>
      </c>
      <c r="I124" s="812">
        <v>12148</v>
      </c>
      <c r="J124" s="812">
        <v>12385</v>
      </c>
      <c r="K124" s="814">
        <v>13419</v>
      </c>
      <c r="L124" s="814">
        <v>12966</v>
      </c>
      <c r="M124" s="814">
        <v>14704</v>
      </c>
      <c r="N124" s="814">
        <v>14595</v>
      </c>
      <c r="O124" s="814">
        <v>14571</v>
      </c>
      <c r="P124" s="814">
        <v>13960</v>
      </c>
      <c r="Q124" s="9"/>
      <c r="R124" s="9"/>
      <c r="S124" s="9"/>
      <c r="T124" s="9"/>
      <c r="U124" s="9"/>
      <c r="V124" s="9"/>
      <c r="W124" s="9"/>
      <c r="X124" s="9"/>
      <c r="Y124" s="9"/>
      <c r="Z124" s="9"/>
      <c r="AA124" s="9"/>
      <c r="AB124" s="1115"/>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row>
    <row r="125" spans="1:96">
      <c r="A125" s="1353"/>
      <c r="B125" s="809" t="s">
        <v>116</v>
      </c>
      <c r="C125" s="827">
        <v>1182</v>
      </c>
      <c r="D125" s="827">
        <v>1470</v>
      </c>
      <c r="E125" s="810">
        <v>1589</v>
      </c>
      <c r="F125" s="810">
        <v>1772</v>
      </c>
      <c r="G125" s="810">
        <v>1931</v>
      </c>
      <c r="H125" s="810">
        <v>1996</v>
      </c>
      <c r="I125" s="812">
        <v>2137</v>
      </c>
      <c r="J125" s="812">
        <v>2096</v>
      </c>
      <c r="K125" s="814">
        <v>2259</v>
      </c>
      <c r="L125" s="814">
        <v>2172</v>
      </c>
      <c r="M125" s="814">
        <v>2453</v>
      </c>
      <c r="N125" s="814">
        <v>2538</v>
      </c>
      <c r="O125" s="814">
        <v>2323</v>
      </c>
      <c r="P125" s="814">
        <v>2340</v>
      </c>
      <c r="Q125" s="9"/>
      <c r="R125" s="9"/>
      <c r="S125" s="9"/>
      <c r="T125" s="9"/>
      <c r="U125" s="9"/>
      <c r="V125" s="9"/>
      <c r="W125" s="9"/>
      <c r="X125" s="9"/>
      <c r="Y125" s="9"/>
      <c r="Z125" s="9"/>
      <c r="AA125" s="9"/>
      <c r="AB125" s="1115"/>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row>
    <row r="126" spans="1:96">
      <c r="A126" s="1353"/>
      <c r="B126" s="809" t="s">
        <v>117</v>
      </c>
      <c r="C126" s="827">
        <v>1190</v>
      </c>
      <c r="D126" s="827">
        <v>1527</v>
      </c>
      <c r="E126" s="810">
        <v>1584</v>
      </c>
      <c r="F126" s="810">
        <v>1724</v>
      </c>
      <c r="G126" s="810">
        <v>1865</v>
      </c>
      <c r="H126" s="810">
        <v>2032</v>
      </c>
      <c r="I126" s="812">
        <v>2009</v>
      </c>
      <c r="J126" s="812">
        <v>2063</v>
      </c>
      <c r="K126" s="814">
        <v>2166</v>
      </c>
      <c r="L126" s="814">
        <v>2146</v>
      </c>
      <c r="M126" s="814">
        <v>2406</v>
      </c>
      <c r="N126" s="814">
        <v>2398</v>
      </c>
      <c r="O126" s="814">
        <v>2287</v>
      </c>
      <c r="P126" s="814">
        <v>2276</v>
      </c>
      <c r="Q126" s="9"/>
      <c r="R126" s="9"/>
      <c r="S126" s="9"/>
      <c r="T126" s="9"/>
      <c r="U126" s="9"/>
      <c r="V126" s="9"/>
      <c r="W126" s="9"/>
      <c r="X126" s="9"/>
      <c r="Y126" s="9"/>
      <c r="Z126" s="9"/>
      <c r="AA126" s="9"/>
      <c r="AB126" s="1115"/>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row>
    <row r="127" spans="1:96">
      <c r="A127" s="1353"/>
      <c r="B127" s="809" t="s">
        <v>118</v>
      </c>
      <c r="C127" s="827">
        <v>378</v>
      </c>
      <c r="D127" s="827">
        <v>498</v>
      </c>
      <c r="E127" s="810">
        <v>505</v>
      </c>
      <c r="F127" s="810">
        <v>584</v>
      </c>
      <c r="G127" s="810">
        <v>634</v>
      </c>
      <c r="H127" s="810">
        <v>690</v>
      </c>
      <c r="I127" s="812">
        <v>688</v>
      </c>
      <c r="J127" s="812">
        <v>691</v>
      </c>
      <c r="K127" s="814">
        <v>750</v>
      </c>
      <c r="L127" s="814">
        <v>714</v>
      </c>
      <c r="M127" s="814">
        <v>820</v>
      </c>
      <c r="N127" s="814">
        <v>793</v>
      </c>
      <c r="O127" s="814">
        <v>739</v>
      </c>
      <c r="P127" s="814">
        <v>733</v>
      </c>
      <c r="Q127" s="9"/>
      <c r="R127" s="9"/>
      <c r="S127" s="9"/>
      <c r="T127" s="9"/>
      <c r="U127" s="9"/>
      <c r="V127" s="9"/>
      <c r="W127" s="9"/>
      <c r="X127" s="9"/>
      <c r="Y127" s="9"/>
      <c r="Z127" s="9"/>
      <c r="AA127" s="9"/>
      <c r="AB127" s="1115"/>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row>
    <row r="128" spans="1:96">
      <c r="A128" s="1354"/>
      <c r="B128" s="807" t="s">
        <v>52</v>
      </c>
      <c r="C128" s="808">
        <v>24194</v>
      </c>
      <c r="D128" s="808">
        <v>29326</v>
      </c>
      <c r="E128" s="808">
        <v>43881</v>
      </c>
      <c r="F128" s="808">
        <v>48368</v>
      </c>
      <c r="G128" s="808">
        <v>52653</v>
      </c>
      <c r="H128" s="808">
        <v>55240</v>
      </c>
      <c r="I128" s="808">
        <v>54846</v>
      </c>
      <c r="J128" s="808">
        <v>55574</v>
      </c>
      <c r="K128" s="808">
        <v>58467</v>
      </c>
      <c r="L128" s="34">
        <v>58368</v>
      </c>
      <c r="M128" s="34">
        <v>65016</v>
      </c>
      <c r="N128" s="34">
        <v>65903</v>
      </c>
      <c r="O128" s="34">
        <v>64921</v>
      </c>
      <c r="P128" s="34">
        <f>SUM(P123:P127)</f>
        <v>64651</v>
      </c>
      <c r="Q128" s="9"/>
      <c r="R128" s="9"/>
      <c r="S128" s="9"/>
      <c r="T128" s="9"/>
      <c r="U128" s="9"/>
      <c r="V128" s="9"/>
      <c r="W128" s="9"/>
      <c r="X128" s="9"/>
      <c r="Y128" s="9"/>
      <c r="Z128" s="9"/>
      <c r="AA128" s="9"/>
      <c r="AB128" s="1115"/>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row>
    <row r="129" spans="1:99">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1115"/>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row>
    <row r="130" spans="1:99">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1115"/>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row>
    <row r="131" spans="1:99">
      <c r="A131" s="524" t="s">
        <v>34</v>
      </c>
      <c r="B131" s="94" t="s">
        <v>114</v>
      </c>
      <c r="C131" s="437">
        <v>2009</v>
      </c>
      <c r="D131" s="437">
        <v>2010</v>
      </c>
      <c r="E131" s="437">
        <v>2011</v>
      </c>
      <c r="F131" s="437">
        <v>2012</v>
      </c>
      <c r="G131" s="437">
        <v>2013</v>
      </c>
      <c r="H131" s="437">
        <v>2014</v>
      </c>
      <c r="I131" s="437">
        <v>2015</v>
      </c>
      <c r="J131" s="437">
        <v>2016</v>
      </c>
      <c r="K131" s="437">
        <v>2017</v>
      </c>
      <c r="L131" s="437">
        <v>2018</v>
      </c>
      <c r="M131" s="437">
        <v>2019</v>
      </c>
      <c r="N131" s="437">
        <v>2020</v>
      </c>
      <c r="O131" s="437">
        <v>2021</v>
      </c>
      <c r="P131" s="437">
        <v>2022</v>
      </c>
      <c r="Q131" s="9"/>
      <c r="R131" s="9"/>
      <c r="S131" s="9"/>
      <c r="T131" s="9"/>
      <c r="U131" s="9"/>
      <c r="V131" s="9"/>
      <c r="W131" s="9"/>
      <c r="X131" s="9"/>
      <c r="Y131" s="9"/>
      <c r="Z131" s="9"/>
      <c r="AA131" s="9"/>
      <c r="AB131" s="1115"/>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row>
    <row r="132" spans="1:99">
      <c r="A132" s="1352" t="s">
        <v>36</v>
      </c>
      <c r="B132" s="806">
        <v>1</v>
      </c>
      <c r="C132" s="815">
        <f t="shared" ref="C132:N132" si="122">C99/C$104</f>
        <v>0.6979906513689067</v>
      </c>
      <c r="D132" s="815">
        <f t="shared" si="122"/>
        <v>0.688182493853982</v>
      </c>
      <c r="E132" s="816">
        <f t="shared" si="122"/>
        <v>0.71301432490094485</v>
      </c>
      <c r="F132" s="816">
        <f t="shared" si="122"/>
        <v>0.70526807070765996</v>
      </c>
      <c r="G132" s="816">
        <f t="shared" si="122"/>
        <v>0.70587552252670693</v>
      </c>
      <c r="H132" s="816">
        <f t="shared" si="122"/>
        <v>0.70695249130938587</v>
      </c>
      <c r="I132" s="817">
        <f t="shared" si="122"/>
        <v>0.70467623889602771</v>
      </c>
      <c r="J132" s="817">
        <f t="shared" si="122"/>
        <v>0.69554606467358149</v>
      </c>
      <c r="K132" s="817">
        <f t="shared" si="122"/>
        <v>0.69843325673699608</v>
      </c>
      <c r="L132" s="817">
        <f t="shared" si="122"/>
        <v>0.6863261695961459</v>
      </c>
      <c r="M132" s="817">
        <f t="shared" si="122"/>
        <v>0.69061677456071713</v>
      </c>
      <c r="N132" s="816">
        <f t="shared" si="122"/>
        <v>0.68932451080995005</v>
      </c>
      <c r="O132" s="816">
        <f t="shared" ref="O132:P136" si="123">O99/O$104</f>
        <v>0.70144578313253014</v>
      </c>
      <c r="P132" s="816">
        <f t="shared" si="123"/>
        <v>0.70818126520681268</v>
      </c>
      <c r="Q132" s="9"/>
      <c r="R132" s="9"/>
      <c r="S132" s="9"/>
      <c r="T132" s="9"/>
      <c r="U132" s="9"/>
      <c r="V132" s="9"/>
      <c r="W132" s="9"/>
      <c r="X132" s="9"/>
      <c r="Y132" s="9"/>
      <c r="Z132" s="9"/>
      <c r="AA132" s="9"/>
      <c r="AB132" s="1115"/>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row>
    <row r="133" spans="1:99">
      <c r="A133" s="1353"/>
      <c r="B133" s="809" t="s">
        <v>115</v>
      </c>
      <c r="C133" s="820">
        <f t="shared" ref="C133:N133" si="124">C100/C$104</f>
        <v>0.22722029988465975</v>
      </c>
      <c r="D133" s="820">
        <f t="shared" si="124"/>
        <v>0.23114744725859013</v>
      </c>
      <c r="E133" s="821">
        <f t="shared" si="124"/>
        <v>0.21280097531240474</v>
      </c>
      <c r="F133" s="821">
        <f t="shared" si="124"/>
        <v>0.219648795286156</v>
      </c>
      <c r="G133" s="821">
        <f t="shared" si="124"/>
        <v>0.21632605666511845</v>
      </c>
      <c r="H133" s="821">
        <f t="shared" si="124"/>
        <v>0.21790266512166859</v>
      </c>
      <c r="I133" s="822">
        <f t="shared" si="124"/>
        <v>0.21978881501759875</v>
      </c>
      <c r="J133" s="822">
        <f t="shared" si="124"/>
        <v>0.22653185740434062</v>
      </c>
      <c r="K133" s="822">
        <f t="shared" si="124"/>
        <v>0.22410695634008773</v>
      </c>
      <c r="L133" s="822">
        <f t="shared" si="124"/>
        <v>0.23169859610824645</v>
      </c>
      <c r="M133" s="822">
        <f t="shared" si="124"/>
        <v>0.22807142349007611</v>
      </c>
      <c r="N133" s="821">
        <f t="shared" si="124"/>
        <v>0.22932663387707442</v>
      </c>
      <c r="O133" s="821">
        <f t="shared" si="123"/>
        <v>0.22112449799196787</v>
      </c>
      <c r="P133" s="821">
        <f t="shared" si="123"/>
        <v>0.21558191403081914</v>
      </c>
      <c r="Q133" s="9"/>
      <c r="R133" s="9"/>
      <c r="S133" s="9"/>
      <c r="T133" s="9"/>
      <c r="U133" s="9"/>
      <c r="V133" s="9"/>
      <c r="W133" s="9"/>
      <c r="X133" s="9"/>
      <c r="Y133" s="9"/>
      <c r="Z133" s="9"/>
      <c r="AA133" s="9"/>
      <c r="AB133" s="1115"/>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row>
    <row r="134" spans="1:99">
      <c r="A134" s="1353"/>
      <c r="B134" s="809" t="s">
        <v>116</v>
      </c>
      <c r="C134" s="820">
        <f t="shared" ref="C134:N134" si="125">C101/C$104</f>
        <v>3.5998300248892126E-2</v>
      </c>
      <c r="D134" s="820">
        <f t="shared" si="125"/>
        <v>3.7676519352810016E-2</v>
      </c>
      <c r="E134" s="821">
        <f t="shared" si="125"/>
        <v>3.2794879609875038E-2</v>
      </c>
      <c r="F134" s="821">
        <f t="shared" si="125"/>
        <v>3.4187036929000644E-2</v>
      </c>
      <c r="G134" s="821">
        <f t="shared" si="125"/>
        <v>3.5589874593590337E-2</v>
      </c>
      <c r="H134" s="821">
        <f t="shared" si="125"/>
        <v>3.250289687137891E-2</v>
      </c>
      <c r="I134" s="822">
        <f t="shared" si="125"/>
        <v>3.3633163863903012E-2</v>
      </c>
      <c r="J134" s="822">
        <f t="shared" si="125"/>
        <v>3.4602980911705744E-2</v>
      </c>
      <c r="K134" s="822">
        <f t="shared" si="125"/>
        <v>3.3758094840192189E-2</v>
      </c>
      <c r="L134" s="822">
        <f t="shared" si="125"/>
        <v>3.63205239188528E-2</v>
      </c>
      <c r="M134" s="822">
        <f t="shared" si="125"/>
        <v>3.5427189300704279E-2</v>
      </c>
      <c r="N134" s="821">
        <f t="shared" si="125"/>
        <v>3.6729061250486535E-2</v>
      </c>
      <c r="O134" s="821">
        <f t="shared" si="123"/>
        <v>3.381526104417671E-2</v>
      </c>
      <c r="P134" s="821">
        <f t="shared" si="123"/>
        <v>3.2897404703974044E-2</v>
      </c>
      <c r="Q134" s="9"/>
      <c r="R134" s="9"/>
      <c r="S134" s="9"/>
      <c r="T134" s="9"/>
      <c r="U134" s="9"/>
      <c r="V134" s="9"/>
      <c r="W134" s="9"/>
      <c r="X134" s="9"/>
      <c r="Y134" s="9"/>
      <c r="Z134" s="9"/>
      <c r="AA134" s="9"/>
      <c r="AB134" s="1115"/>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row>
    <row r="135" spans="1:99">
      <c r="A135" s="1353"/>
      <c r="B135" s="809" t="s">
        <v>117</v>
      </c>
      <c r="C135" s="820">
        <f t="shared" ref="C135:N135" si="126">C102/C$104</f>
        <v>3.1931038669337705E-2</v>
      </c>
      <c r="D135" s="820">
        <f t="shared" si="126"/>
        <v>3.5389628952032473E-2</v>
      </c>
      <c r="E135" s="821">
        <f t="shared" si="126"/>
        <v>3.1149039926851571E-2</v>
      </c>
      <c r="F135" s="821">
        <f t="shared" si="126"/>
        <v>3.1153374948952803E-2</v>
      </c>
      <c r="G135" s="821">
        <f t="shared" si="126"/>
        <v>3.1583836507199259E-2</v>
      </c>
      <c r="H135" s="821">
        <f t="shared" si="126"/>
        <v>3.2097334878331399E-2</v>
      </c>
      <c r="I135" s="822">
        <f t="shared" si="126"/>
        <v>3.1677747360187719E-2</v>
      </c>
      <c r="J135" s="822">
        <f t="shared" si="126"/>
        <v>3.2249629565065809E-2</v>
      </c>
      <c r="K135" s="822">
        <f t="shared" si="126"/>
        <v>3.2421140589095468E-2</v>
      </c>
      <c r="L135" s="822">
        <f t="shared" si="126"/>
        <v>3.3460047423689264E-2</v>
      </c>
      <c r="M135" s="822">
        <f t="shared" si="126"/>
        <v>3.4146688482606533E-2</v>
      </c>
      <c r="N135" s="821">
        <f t="shared" si="126"/>
        <v>3.2978309330880008E-2</v>
      </c>
      <c r="O135" s="821">
        <f t="shared" si="123"/>
        <v>3.2730923694779118E-2</v>
      </c>
      <c r="P135" s="821">
        <f t="shared" si="123"/>
        <v>3.2491889699918897E-2</v>
      </c>
      <c r="Q135" s="9"/>
      <c r="R135" s="9"/>
      <c r="S135" s="9"/>
      <c r="T135" s="9"/>
      <c r="U135" s="9"/>
      <c r="V135" s="9"/>
      <c r="W135" s="9"/>
      <c r="X135" s="9"/>
      <c r="Y135" s="9"/>
      <c r="Z135" s="9"/>
      <c r="AA135" s="9"/>
      <c r="AB135" s="1115"/>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row>
    <row r="136" spans="1:99">
      <c r="A136" s="1353"/>
      <c r="B136" s="809" t="s">
        <v>118</v>
      </c>
      <c r="C136" s="820">
        <f t="shared" ref="C136:N136" si="127">C103/C$104</f>
        <v>6.8597098282037272E-3</v>
      </c>
      <c r="D136" s="820">
        <f t="shared" si="127"/>
        <v>7.60391058258533E-3</v>
      </c>
      <c r="E136" s="821">
        <f t="shared" si="127"/>
        <v>1.0240780249923804E-2</v>
      </c>
      <c r="F136" s="821">
        <f t="shared" si="127"/>
        <v>9.7427221282305587E-3</v>
      </c>
      <c r="G136" s="821">
        <f t="shared" si="127"/>
        <v>1.0624709707385044E-2</v>
      </c>
      <c r="H136" s="821">
        <f t="shared" si="127"/>
        <v>1.0544611819235225E-2</v>
      </c>
      <c r="I136" s="822">
        <f t="shared" si="127"/>
        <v>1.0224034862282809E-2</v>
      </c>
      <c r="J136" s="822">
        <f t="shared" si="127"/>
        <v>1.1069467445306371E-2</v>
      </c>
      <c r="K136" s="822">
        <f t="shared" si="127"/>
        <v>1.1280551493628577E-2</v>
      </c>
      <c r="L136" s="822">
        <f t="shared" si="127"/>
        <v>1.2194662953065602E-2</v>
      </c>
      <c r="M136" s="822">
        <f t="shared" si="127"/>
        <v>1.1737924165895995E-2</v>
      </c>
      <c r="N136" s="821">
        <f t="shared" si="127"/>
        <v>1.164148473160893E-2</v>
      </c>
      <c r="O136" s="821">
        <f t="shared" si="123"/>
        <v>1.0883534136546184E-2</v>
      </c>
      <c r="P136" s="821">
        <f t="shared" si="123"/>
        <v>1.0847526358475263E-2</v>
      </c>
      <c r="Q136" s="9"/>
      <c r="R136" s="9"/>
      <c r="S136" s="9"/>
      <c r="T136" s="9"/>
      <c r="U136" s="9"/>
      <c r="V136" s="9"/>
      <c r="W136" s="9"/>
      <c r="X136" s="9"/>
      <c r="Y136" s="9"/>
      <c r="Z136" s="9"/>
      <c r="AA136" s="9"/>
      <c r="AB136" s="1115"/>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row>
    <row r="137" spans="1:99" s="1086" customFormat="1">
      <c r="A137" s="1354"/>
      <c r="B137" s="807" t="s">
        <v>52</v>
      </c>
      <c r="C137" s="818">
        <f t="shared" ref="C137:N137" si="128">SUM(C132:C136)</f>
        <v>1</v>
      </c>
      <c r="D137" s="818">
        <f t="shared" si="128"/>
        <v>1</v>
      </c>
      <c r="E137" s="819">
        <f t="shared" si="128"/>
        <v>1</v>
      </c>
      <c r="F137" s="819">
        <f t="shared" si="128"/>
        <v>0.99999999999999989</v>
      </c>
      <c r="G137" s="819">
        <f t="shared" si="128"/>
        <v>1</v>
      </c>
      <c r="H137" s="819">
        <f t="shared" si="128"/>
        <v>1</v>
      </c>
      <c r="I137" s="819">
        <f t="shared" si="128"/>
        <v>1</v>
      </c>
      <c r="J137" s="819">
        <f t="shared" si="128"/>
        <v>1</v>
      </c>
      <c r="K137" s="819">
        <f t="shared" si="128"/>
        <v>1</v>
      </c>
      <c r="L137" s="819">
        <f t="shared" si="128"/>
        <v>0.99999999999999989</v>
      </c>
      <c r="M137" s="819">
        <f t="shared" si="128"/>
        <v>1</v>
      </c>
      <c r="N137" s="819">
        <f t="shared" si="128"/>
        <v>1</v>
      </c>
      <c r="O137" s="819">
        <f>SUM(O132:O136)</f>
        <v>1</v>
      </c>
      <c r="P137" s="819">
        <f>SUM(P132:P136)</f>
        <v>1</v>
      </c>
      <c r="Q137" s="9"/>
      <c r="R137" s="9"/>
      <c r="S137" s="9"/>
      <c r="T137" s="9"/>
      <c r="U137" s="9"/>
      <c r="V137" s="9"/>
      <c r="W137" s="9"/>
      <c r="X137" s="9"/>
      <c r="Y137" s="9"/>
      <c r="Z137" s="9"/>
      <c r="AA137" s="9"/>
      <c r="AB137" s="1115"/>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row>
    <row r="138" spans="1:99" s="1086" customFormat="1">
      <c r="A138" s="1355" t="s">
        <v>38</v>
      </c>
      <c r="B138" s="806">
        <v>1</v>
      </c>
      <c r="C138" s="816">
        <f t="shared" ref="C138:N138" si="129">C105/C$110</f>
        <v>0.6580892908412288</v>
      </c>
      <c r="D138" s="816">
        <f t="shared" si="129"/>
        <v>0.65061856707010424</v>
      </c>
      <c r="E138" s="816">
        <f t="shared" si="129"/>
        <v>0.64734441186054092</v>
      </c>
      <c r="F138" s="816">
        <f t="shared" si="129"/>
        <v>0.64154841846191246</v>
      </c>
      <c r="G138" s="816">
        <f t="shared" si="129"/>
        <v>0.64059646987218499</v>
      </c>
      <c r="H138" s="816">
        <f t="shared" si="129"/>
        <v>0.64426351811605953</v>
      </c>
      <c r="I138" s="816">
        <f t="shared" si="129"/>
        <v>0.64053041222254248</v>
      </c>
      <c r="J138" s="816">
        <f t="shared" si="129"/>
        <v>0.64030217849613491</v>
      </c>
      <c r="K138" s="816">
        <f t="shared" si="129"/>
        <v>0.64191083695499784</v>
      </c>
      <c r="L138" s="816">
        <f t="shared" si="129"/>
        <v>0.64109297374024132</v>
      </c>
      <c r="M138" s="816">
        <f t="shared" si="129"/>
        <v>0.64126586804934738</v>
      </c>
      <c r="N138" s="816">
        <f t="shared" si="129"/>
        <v>0.64109297374024132</v>
      </c>
      <c r="O138" s="816">
        <f t="shared" ref="O138:P142" si="130">O105/O$110</f>
        <v>0.64229636898920506</v>
      </c>
      <c r="P138" s="816">
        <f t="shared" si="130"/>
        <v>0.60346277863451558</v>
      </c>
      <c r="Q138" s="9"/>
      <c r="R138" s="9"/>
      <c r="S138" s="9"/>
      <c r="T138" s="9"/>
      <c r="U138" s="9"/>
      <c r="V138" s="9"/>
      <c r="W138" s="9"/>
      <c r="X138" s="9"/>
      <c r="Y138" s="9"/>
      <c r="Z138" s="9"/>
      <c r="AA138" s="9"/>
      <c r="AB138" s="1115"/>
      <c r="AC138" s="9"/>
      <c r="AD138" s="835"/>
      <c r="AE138" s="836" t="s">
        <v>36</v>
      </c>
      <c r="AF138" s="836"/>
      <c r="AG138" s="836"/>
      <c r="AH138" s="836"/>
      <c r="AI138" s="836"/>
      <c r="AJ138" s="836"/>
      <c r="AK138" s="836"/>
      <c r="AL138" s="836"/>
      <c r="AM138" s="836"/>
      <c r="AN138" s="836"/>
      <c r="AO138" s="836"/>
      <c r="AP138" s="836"/>
      <c r="AQ138" s="836"/>
      <c r="AR138" s="836"/>
      <c r="AS138" s="836" t="s">
        <v>38</v>
      </c>
      <c r="AT138" s="836"/>
      <c r="AU138" s="836"/>
      <c r="AV138" s="836"/>
      <c r="AW138" s="836"/>
      <c r="AX138" s="836"/>
      <c r="AY138" s="836"/>
      <c r="AZ138" s="836"/>
      <c r="BA138" s="836"/>
      <c r="BB138" s="836"/>
      <c r="BC138" s="836"/>
      <c r="BD138" s="836"/>
      <c r="BE138" s="836"/>
      <c r="BF138" s="836"/>
      <c r="BG138" s="836" t="s">
        <v>42</v>
      </c>
      <c r="BH138" s="836"/>
      <c r="BI138" s="836"/>
      <c r="BJ138" s="836"/>
      <c r="BK138" s="836"/>
      <c r="BL138" s="836"/>
      <c r="BM138" s="836"/>
      <c r="BN138" s="836"/>
      <c r="BO138" s="836"/>
      <c r="BP138" s="836"/>
      <c r="BQ138" s="836"/>
      <c r="BR138" s="836"/>
      <c r="BS138" s="836"/>
      <c r="BT138" s="836"/>
      <c r="BU138" s="836" t="s">
        <v>43</v>
      </c>
      <c r="BV138" s="836"/>
      <c r="BW138" s="836"/>
      <c r="BX138" s="836"/>
      <c r="BY138" s="836"/>
      <c r="BZ138" s="836"/>
      <c r="CA138" s="836"/>
      <c r="CB138" s="836"/>
      <c r="CC138" s="836"/>
      <c r="CD138" s="836"/>
      <c r="CE138" s="836"/>
      <c r="CF138" s="836"/>
      <c r="CG138" s="836"/>
      <c r="CH138" s="836"/>
      <c r="CI138" s="836" t="s">
        <v>44</v>
      </c>
      <c r="CJ138" s="836"/>
      <c r="CK138" s="836"/>
      <c r="CL138" s="836"/>
      <c r="CM138" s="836"/>
      <c r="CN138" s="836"/>
      <c r="CO138" s="836"/>
      <c r="CP138" s="836"/>
      <c r="CQ138" s="836"/>
      <c r="CR138" s="836"/>
      <c r="CS138" s="836"/>
      <c r="CT138" s="836"/>
      <c r="CU138" s="836"/>
    </row>
    <row r="139" spans="1:99" s="1086" customFormat="1">
      <c r="A139" s="1356"/>
      <c r="B139" s="809" t="s">
        <v>115</v>
      </c>
      <c r="C139" s="821">
        <f t="shared" ref="C139:N139" si="131">C106/C$110</f>
        <v>0.23018949181739878</v>
      </c>
      <c r="D139" s="821">
        <f t="shared" si="131"/>
        <v>0.23508901331008816</v>
      </c>
      <c r="E139" s="821">
        <f t="shared" si="131"/>
        <v>0.23633105246008471</v>
      </c>
      <c r="F139" s="821">
        <f t="shared" si="131"/>
        <v>0.24213788702865302</v>
      </c>
      <c r="G139" s="821">
        <f t="shared" si="131"/>
        <v>0.24190505173463178</v>
      </c>
      <c r="H139" s="821">
        <f t="shared" si="131"/>
        <v>0.24425054331960167</v>
      </c>
      <c r="I139" s="821">
        <f t="shared" si="131"/>
        <v>0.24863072931680599</v>
      </c>
      <c r="J139" s="821">
        <f t="shared" si="131"/>
        <v>0.24901616303583979</v>
      </c>
      <c r="K139" s="821">
        <f t="shared" si="131"/>
        <v>0.24821253329594842</v>
      </c>
      <c r="L139" s="821">
        <f t="shared" si="131"/>
        <v>0.24854506742370475</v>
      </c>
      <c r="M139" s="821">
        <f t="shared" si="131"/>
        <v>0.25192204541391022</v>
      </c>
      <c r="N139" s="821">
        <f t="shared" si="131"/>
        <v>0.24854506742370475</v>
      </c>
      <c r="O139" s="821">
        <f t="shared" si="130"/>
        <v>0.24943922613206224</v>
      </c>
      <c r="P139" s="821">
        <f t="shared" si="130"/>
        <v>0.2775830646291883</v>
      </c>
      <c r="Q139" s="9"/>
      <c r="R139" s="9"/>
      <c r="S139" s="9"/>
      <c r="T139" s="9"/>
      <c r="U139" s="9"/>
      <c r="V139" s="9"/>
      <c r="W139" s="9"/>
      <c r="X139" s="9"/>
      <c r="Y139" s="9"/>
      <c r="Z139" s="9"/>
      <c r="AA139" s="9"/>
      <c r="AB139" s="1115"/>
      <c r="AC139" s="9"/>
      <c r="AD139" s="838"/>
      <c r="AE139" s="834">
        <f>D131</f>
        <v>2010</v>
      </c>
      <c r="AF139" s="834">
        <f t="shared" ref="AF139:AQ139" si="132">E131</f>
        <v>2011</v>
      </c>
      <c r="AG139" s="834">
        <f t="shared" si="132"/>
        <v>2012</v>
      </c>
      <c r="AH139" s="834">
        <f t="shared" si="132"/>
        <v>2013</v>
      </c>
      <c r="AI139" s="834">
        <f t="shared" si="132"/>
        <v>2014</v>
      </c>
      <c r="AJ139" s="834">
        <f t="shared" si="132"/>
        <v>2015</v>
      </c>
      <c r="AK139" s="834">
        <f t="shared" si="132"/>
        <v>2016</v>
      </c>
      <c r="AL139" s="834">
        <f t="shared" si="132"/>
        <v>2017</v>
      </c>
      <c r="AM139" s="834">
        <f t="shared" si="132"/>
        <v>2018</v>
      </c>
      <c r="AN139" s="834">
        <f t="shared" si="132"/>
        <v>2019</v>
      </c>
      <c r="AO139" s="834">
        <f t="shared" si="132"/>
        <v>2020</v>
      </c>
      <c r="AP139" s="834">
        <f t="shared" si="132"/>
        <v>2021</v>
      </c>
      <c r="AQ139" s="834">
        <f t="shared" si="132"/>
        <v>2022</v>
      </c>
      <c r="AR139" s="834"/>
      <c r="AS139" s="834">
        <f>AE139</f>
        <v>2010</v>
      </c>
      <c r="AT139" s="834">
        <f t="shared" ref="AT139" si="133">AF139</f>
        <v>2011</v>
      </c>
      <c r="AU139" s="834">
        <f t="shared" ref="AU139" si="134">AG139</f>
        <v>2012</v>
      </c>
      <c r="AV139" s="834">
        <f t="shared" ref="AV139" si="135">AH139</f>
        <v>2013</v>
      </c>
      <c r="AW139" s="834">
        <f t="shared" ref="AW139" si="136">AI139</f>
        <v>2014</v>
      </c>
      <c r="AX139" s="834">
        <f t="shared" ref="AX139" si="137">AJ139</f>
        <v>2015</v>
      </c>
      <c r="AY139" s="834">
        <f t="shared" ref="AY139" si="138">AK139</f>
        <v>2016</v>
      </c>
      <c r="AZ139" s="834">
        <f t="shared" ref="AZ139" si="139">AL139</f>
        <v>2017</v>
      </c>
      <c r="BA139" s="834">
        <f t="shared" ref="BA139" si="140">AM139</f>
        <v>2018</v>
      </c>
      <c r="BB139" s="834">
        <f t="shared" ref="BB139" si="141">AN139</f>
        <v>2019</v>
      </c>
      <c r="BC139" s="834">
        <f t="shared" ref="BC139" si="142">AO139</f>
        <v>2020</v>
      </c>
      <c r="BD139" s="834">
        <f t="shared" ref="BD139" si="143">AP139</f>
        <v>2021</v>
      </c>
      <c r="BE139" s="834">
        <v>2022</v>
      </c>
      <c r="BF139" s="834"/>
      <c r="BG139" s="834">
        <f>AS139</f>
        <v>2010</v>
      </c>
      <c r="BH139" s="834">
        <f t="shared" ref="BH139" si="144">AT139</f>
        <v>2011</v>
      </c>
      <c r="BI139" s="834">
        <f t="shared" ref="BI139" si="145">AU139</f>
        <v>2012</v>
      </c>
      <c r="BJ139" s="834">
        <f t="shared" ref="BJ139" si="146">AV139</f>
        <v>2013</v>
      </c>
      <c r="BK139" s="834">
        <f t="shared" ref="BK139" si="147">AW139</f>
        <v>2014</v>
      </c>
      <c r="BL139" s="834">
        <f t="shared" ref="BL139" si="148">AX139</f>
        <v>2015</v>
      </c>
      <c r="BM139" s="834">
        <f t="shared" ref="BM139" si="149">AY139</f>
        <v>2016</v>
      </c>
      <c r="BN139" s="834">
        <f t="shared" ref="BN139" si="150">AZ139</f>
        <v>2017</v>
      </c>
      <c r="BO139" s="834">
        <f t="shared" ref="BO139" si="151">BA139</f>
        <v>2018</v>
      </c>
      <c r="BP139" s="834">
        <f t="shared" ref="BP139" si="152">BB139</f>
        <v>2019</v>
      </c>
      <c r="BQ139" s="834">
        <f t="shared" ref="BQ139" si="153">BC139</f>
        <v>2020</v>
      </c>
      <c r="BR139" s="834">
        <f t="shared" ref="BR139" si="154">BD139</f>
        <v>2021</v>
      </c>
      <c r="BS139" s="834">
        <v>2022</v>
      </c>
      <c r="BT139" s="834"/>
      <c r="BU139" s="834">
        <f>BG139</f>
        <v>2010</v>
      </c>
      <c r="BV139" s="834">
        <f t="shared" ref="BV139" si="155">BH139</f>
        <v>2011</v>
      </c>
      <c r="BW139" s="834">
        <f t="shared" ref="BW139" si="156">BI139</f>
        <v>2012</v>
      </c>
      <c r="BX139" s="834">
        <f t="shared" ref="BX139" si="157">BJ139</f>
        <v>2013</v>
      </c>
      <c r="BY139" s="834">
        <f t="shared" ref="BY139" si="158">BK139</f>
        <v>2014</v>
      </c>
      <c r="BZ139" s="834">
        <f t="shared" ref="BZ139" si="159">BL139</f>
        <v>2015</v>
      </c>
      <c r="CA139" s="834">
        <f t="shared" ref="CA139" si="160">BM139</f>
        <v>2016</v>
      </c>
      <c r="CB139" s="834">
        <f t="shared" ref="CB139" si="161">BN139</f>
        <v>2017</v>
      </c>
      <c r="CC139" s="834">
        <f t="shared" ref="CC139" si="162">BO139</f>
        <v>2018</v>
      </c>
      <c r="CD139" s="834">
        <f t="shared" ref="CD139" si="163">BP139</f>
        <v>2019</v>
      </c>
      <c r="CE139" s="834">
        <f t="shared" ref="CE139" si="164">BQ139</f>
        <v>2020</v>
      </c>
      <c r="CF139" s="834">
        <f t="shared" ref="CF139" si="165">BR139</f>
        <v>2021</v>
      </c>
      <c r="CG139" s="834">
        <v>2022</v>
      </c>
      <c r="CH139" s="834"/>
      <c r="CI139" s="834">
        <f t="shared" ref="CI139" si="166">BU139</f>
        <v>2010</v>
      </c>
      <c r="CJ139" s="834">
        <f t="shared" ref="CJ139" si="167">BV139</f>
        <v>2011</v>
      </c>
      <c r="CK139" s="834">
        <f t="shared" ref="CK139" si="168">BW139</f>
        <v>2012</v>
      </c>
      <c r="CL139" s="834">
        <f t="shared" ref="CL139" si="169">BX139</f>
        <v>2013</v>
      </c>
      <c r="CM139" s="834">
        <f t="shared" ref="CM139" si="170">BY139</f>
        <v>2014</v>
      </c>
      <c r="CN139" s="834">
        <f t="shared" ref="CN139" si="171">BZ139</f>
        <v>2015</v>
      </c>
      <c r="CO139" s="834">
        <f t="shared" ref="CO139" si="172">CA139</f>
        <v>2016</v>
      </c>
      <c r="CP139" s="834">
        <f t="shared" ref="CP139" si="173">CB139</f>
        <v>2017</v>
      </c>
      <c r="CQ139" s="834">
        <f t="shared" ref="CQ139" si="174">CC139</f>
        <v>2018</v>
      </c>
      <c r="CR139" s="834">
        <f t="shared" ref="CR139" si="175">CD139</f>
        <v>2019</v>
      </c>
      <c r="CS139" s="834">
        <f t="shared" ref="CS139" si="176">CE139</f>
        <v>2020</v>
      </c>
      <c r="CT139" s="834">
        <f t="shared" ref="CT139" si="177">CF139</f>
        <v>2021</v>
      </c>
      <c r="CU139" s="1098">
        <v>2022</v>
      </c>
    </row>
    <row r="140" spans="1:99" s="1086" customFormat="1">
      <c r="A140" s="1356"/>
      <c r="B140" s="809" t="s">
        <v>116</v>
      </c>
      <c r="C140" s="821">
        <f t="shared" ref="C140:N140" si="178">C107/C$110</f>
        <v>4.4573643410852716E-2</v>
      </c>
      <c r="D140" s="821">
        <f t="shared" si="178"/>
        <v>4.3349984912998289E-2</v>
      </c>
      <c r="E140" s="821">
        <f t="shared" si="178"/>
        <v>4.5063538611925712E-2</v>
      </c>
      <c r="F140" s="821">
        <f t="shared" si="178"/>
        <v>4.3480903041536262E-2</v>
      </c>
      <c r="G140" s="821">
        <f t="shared" si="178"/>
        <v>4.4917833231892877E-2</v>
      </c>
      <c r="H140" s="821">
        <f t="shared" si="178"/>
        <v>4.2687080346427063E-2</v>
      </c>
      <c r="I140" s="821">
        <f t="shared" si="178"/>
        <v>4.3312193715768235E-2</v>
      </c>
      <c r="J140" s="821">
        <f t="shared" si="178"/>
        <v>4.1777933942375264E-2</v>
      </c>
      <c r="K140" s="821">
        <f t="shared" si="178"/>
        <v>4.1707556427870461E-2</v>
      </c>
      <c r="L140" s="821">
        <f t="shared" si="178"/>
        <v>4.2902767920511002E-2</v>
      </c>
      <c r="M140" s="821">
        <f t="shared" si="178"/>
        <v>4.3447166100482749E-2</v>
      </c>
      <c r="N140" s="821">
        <f t="shared" si="178"/>
        <v>4.2902767920511002E-2</v>
      </c>
      <c r="O140" s="821">
        <f t="shared" si="130"/>
        <v>4.4195990466844248E-2</v>
      </c>
      <c r="P140" s="821">
        <f t="shared" si="130"/>
        <v>4.7981214075424085E-2</v>
      </c>
      <c r="Q140" s="9"/>
      <c r="R140" s="9"/>
      <c r="S140" s="9"/>
      <c r="T140" s="9"/>
      <c r="U140" s="9"/>
      <c r="V140" s="9"/>
      <c r="W140" s="9"/>
      <c r="X140" s="9"/>
      <c r="Y140" s="9"/>
      <c r="Z140" s="9"/>
      <c r="AA140" s="9"/>
      <c r="AB140" s="1115"/>
      <c r="AC140" s="9"/>
      <c r="AD140" s="840">
        <f>B132</f>
        <v>1</v>
      </c>
      <c r="AE140" s="841">
        <f>D132</f>
        <v>0.688182493853982</v>
      </c>
      <c r="AF140" s="841">
        <f t="shared" ref="AF140:AQ140" si="179">E132</f>
        <v>0.71301432490094485</v>
      </c>
      <c r="AG140" s="841">
        <f t="shared" si="179"/>
        <v>0.70526807070765996</v>
      </c>
      <c r="AH140" s="841">
        <f t="shared" si="179"/>
        <v>0.70587552252670693</v>
      </c>
      <c r="AI140" s="841">
        <f t="shared" si="179"/>
        <v>0.70695249130938587</v>
      </c>
      <c r="AJ140" s="841">
        <f t="shared" si="179"/>
        <v>0.70467623889602771</v>
      </c>
      <c r="AK140" s="841">
        <f t="shared" si="179"/>
        <v>0.69554606467358149</v>
      </c>
      <c r="AL140" s="841">
        <f t="shared" si="179"/>
        <v>0.69843325673699608</v>
      </c>
      <c r="AM140" s="841">
        <f t="shared" si="179"/>
        <v>0.6863261695961459</v>
      </c>
      <c r="AN140" s="841">
        <f t="shared" si="179"/>
        <v>0.69061677456071713</v>
      </c>
      <c r="AO140" s="841">
        <f t="shared" si="179"/>
        <v>0.68932451080995005</v>
      </c>
      <c r="AP140" s="841">
        <f t="shared" si="179"/>
        <v>0.70144578313253014</v>
      </c>
      <c r="AQ140" s="841">
        <f t="shared" si="179"/>
        <v>0.70818126520681268</v>
      </c>
      <c r="AR140" s="842"/>
      <c r="AS140" s="841">
        <f>D138</f>
        <v>0.65061856707010424</v>
      </c>
      <c r="AT140" s="841">
        <f t="shared" ref="AT140:BD140" si="180">E138</f>
        <v>0.64734441186054092</v>
      </c>
      <c r="AU140" s="841">
        <f t="shared" si="180"/>
        <v>0.64154841846191246</v>
      </c>
      <c r="AV140" s="841">
        <f t="shared" si="180"/>
        <v>0.64059646987218499</v>
      </c>
      <c r="AW140" s="841">
        <f t="shared" si="180"/>
        <v>0.64426351811605953</v>
      </c>
      <c r="AX140" s="841">
        <f t="shared" si="180"/>
        <v>0.64053041222254248</v>
      </c>
      <c r="AY140" s="841">
        <f t="shared" si="180"/>
        <v>0.64030217849613491</v>
      </c>
      <c r="AZ140" s="841">
        <f t="shared" si="180"/>
        <v>0.64191083695499784</v>
      </c>
      <c r="BA140" s="841">
        <f t="shared" si="180"/>
        <v>0.64109297374024132</v>
      </c>
      <c r="BB140" s="841">
        <f t="shared" si="180"/>
        <v>0.64126586804934738</v>
      </c>
      <c r="BC140" s="841">
        <f t="shared" si="180"/>
        <v>0.64109297374024132</v>
      </c>
      <c r="BD140" s="841">
        <f t="shared" si="180"/>
        <v>0.64229636898920506</v>
      </c>
      <c r="BE140" s="841">
        <f>P138</f>
        <v>0.60346277863451558</v>
      </c>
      <c r="BF140" s="842"/>
      <c r="BG140" s="841">
        <f>D144</f>
        <v>0.65313561014579591</v>
      </c>
      <c r="BH140" s="841">
        <f t="shared" ref="BH140:BS140" si="181">E144</f>
        <v>0.63556352050975706</v>
      </c>
      <c r="BI140" s="841">
        <f t="shared" si="181"/>
        <v>0.6685551511315081</v>
      </c>
      <c r="BJ140" s="841">
        <f t="shared" si="181"/>
        <v>0.67047344223809058</v>
      </c>
      <c r="BK140" s="841">
        <f t="shared" si="181"/>
        <v>0.66998535144126925</v>
      </c>
      <c r="BL140" s="841">
        <f t="shared" si="181"/>
        <v>0.68457107801370098</v>
      </c>
      <c r="BM140" s="841">
        <f t="shared" si="181"/>
        <v>0.68549603620374233</v>
      </c>
      <c r="BN140" s="841">
        <f t="shared" si="181"/>
        <v>0.68313072062115676</v>
      </c>
      <c r="BO140" s="841">
        <f t="shared" si="181"/>
        <v>0.68471042891356415</v>
      </c>
      <c r="BP140" s="841">
        <f t="shared" si="181"/>
        <v>0.68392242727557084</v>
      </c>
      <c r="BQ140" s="841">
        <f t="shared" si="181"/>
        <v>0.681571684501041</v>
      </c>
      <c r="BR140" s="841">
        <f t="shared" si="181"/>
        <v>0.67440957471106844</v>
      </c>
      <c r="BS140" s="841">
        <f t="shared" si="181"/>
        <v>0.67764986105597458</v>
      </c>
      <c r="BT140" s="834"/>
      <c r="BU140" s="843">
        <f>D150</f>
        <v>0.69619014732965012</v>
      </c>
      <c r="BV140" s="843">
        <f t="shared" ref="BV140:CG140" si="182">E150</f>
        <v>0.67709411711752265</v>
      </c>
      <c r="BW140" s="843">
        <f t="shared" si="182"/>
        <v>0.65804566008602627</v>
      </c>
      <c r="BX140" s="843">
        <f t="shared" si="182"/>
        <v>0.65741094321095417</v>
      </c>
      <c r="BY140" s="843">
        <f t="shared" si="182"/>
        <v>0.647000303510606</v>
      </c>
      <c r="BZ140" s="843">
        <f t="shared" si="182"/>
        <v>0.61449978766001334</v>
      </c>
      <c r="CA140" s="843">
        <f t="shared" si="182"/>
        <v>0.60868050641730442</v>
      </c>
      <c r="CB140" s="843">
        <f t="shared" si="182"/>
        <v>0.6214984812689841</v>
      </c>
      <c r="CC140" s="843">
        <f t="shared" si="182"/>
        <v>0.61848319845973343</v>
      </c>
      <c r="CD140" s="843">
        <f t="shared" si="182"/>
        <v>0.62971448897816562</v>
      </c>
      <c r="CE140" s="843">
        <f t="shared" si="182"/>
        <v>0.61092314217049148</v>
      </c>
      <c r="CF140" s="843">
        <f>O150</f>
        <v>0</v>
      </c>
      <c r="CG140" s="843">
        <f t="shared" si="182"/>
        <v>0.60219792309714015</v>
      </c>
      <c r="CH140" s="834"/>
      <c r="CI140" s="843">
        <f>D156</f>
        <v>0.6018550092068472</v>
      </c>
      <c r="CJ140" s="843">
        <f t="shared" ref="CJ140:CU140" si="183">E156</f>
        <v>0.6993003805747362</v>
      </c>
      <c r="CK140" s="843">
        <f t="shared" si="183"/>
        <v>0.69455011577902748</v>
      </c>
      <c r="CL140" s="843">
        <f t="shared" si="183"/>
        <v>0.69261010768617171</v>
      </c>
      <c r="CM140" s="843">
        <f t="shared" si="183"/>
        <v>0.69143736422881974</v>
      </c>
      <c r="CN140" s="843">
        <f t="shared" si="183"/>
        <v>0.69036939795062535</v>
      </c>
      <c r="CO140" s="843">
        <f t="shared" si="183"/>
        <v>0.68987296217655736</v>
      </c>
      <c r="CP140" s="843">
        <f t="shared" si="183"/>
        <v>0.68197444712401867</v>
      </c>
      <c r="CQ140" s="843">
        <f t="shared" si="183"/>
        <v>0.6916461074561403</v>
      </c>
      <c r="CR140" s="843">
        <f t="shared" si="183"/>
        <v>0.68649255567860223</v>
      </c>
      <c r="CS140" s="843">
        <f t="shared" si="183"/>
        <v>0.69160736233555375</v>
      </c>
      <c r="CT140" s="843">
        <f t="shared" si="183"/>
        <v>0.69316553965588945</v>
      </c>
      <c r="CU140" s="843">
        <f t="shared" si="183"/>
        <v>0.70133485947626484</v>
      </c>
    </row>
    <row r="141" spans="1:99" s="1086" customFormat="1">
      <c r="A141" s="1356"/>
      <c r="B141" s="809" t="s">
        <v>117</v>
      </c>
      <c r="C141" s="822">
        <f t="shared" ref="C141:N141" si="184">C108/C$110</f>
        <v>4.8162503588860178E-2</v>
      </c>
      <c r="D141" s="822">
        <f t="shared" si="184"/>
        <v>5.059174573373118E-2</v>
      </c>
      <c r="E141" s="822">
        <f t="shared" si="184"/>
        <v>5.0439882697947212E-2</v>
      </c>
      <c r="F141" s="822">
        <f t="shared" si="184"/>
        <v>5.095560754762845E-2</v>
      </c>
      <c r="G141" s="822">
        <f t="shared" si="184"/>
        <v>5.1034692635423005E-2</v>
      </c>
      <c r="H141" s="822">
        <f t="shared" si="184"/>
        <v>4.8752797690486231E-2</v>
      </c>
      <c r="I141" s="822">
        <f t="shared" si="184"/>
        <v>4.871720957048141E-2</v>
      </c>
      <c r="J141" s="822">
        <f t="shared" si="184"/>
        <v>4.9754040758959943E-2</v>
      </c>
      <c r="K141" s="822">
        <f t="shared" si="184"/>
        <v>4.8997616711061266E-2</v>
      </c>
      <c r="L141" s="822">
        <f t="shared" si="184"/>
        <v>4.8403122782114977E-2</v>
      </c>
      <c r="M141" s="822">
        <f t="shared" si="184"/>
        <v>4.519935633827999E-2</v>
      </c>
      <c r="N141" s="822">
        <f t="shared" si="184"/>
        <v>4.8403122782114977E-2</v>
      </c>
      <c r="O141" s="822">
        <f t="shared" si="130"/>
        <v>4.5983457170895838E-2</v>
      </c>
      <c r="P141" s="822">
        <f t="shared" si="130"/>
        <v>5.1345857283050612E-2</v>
      </c>
      <c r="Q141" s="9"/>
      <c r="R141" s="9"/>
      <c r="S141" s="9"/>
      <c r="T141" s="9"/>
      <c r="U141" s="9"/>
      <c r="V141" s="9"/>
      <c r="W141" s="9"/>
      <c r="X141" s="9"/>
      <c r="Y141" s="9"/>
      <c r="Z141" s="9"/>
      <c r="AA141" s="9"/>
      <c r="AB141" s="1115"/>
      <c r="AC141" s="9"/>
      <c r="AD141" s="840" t="str">
        <f t="shared" ref="AD141:AD144" si="185">B133</f>
        <v>2 to 5</v>
      </c>
      <c r="AE141" s="841">
        <f t="shared" ref="AE141:AQ141" si="186">D133</f>
        <v>0.23114744725859013</v>
      </c>
      <c r="AF141" s="841">
        <f t="shared" si="186"/>
        <v>0.21280097531240474</v>
      </c>
      <c r="AG141" s="841">
        <f t="shared" si="186"/>
        <v>0.219648795286156</v>
      </c>
      <c r="AH141" s="841">
        <f t="shared" si="186"/>
        <v>0.21632605666511845</v>
      </c>
      <c r="AI141" s="841">
        <f t="shared" si="186"/>
        <v>0.21790266512166859</v>
      </c>
      <c r="AJ141" s="841">
        <f t="shared" si="186"/>
        <v>0.21978881501759875</v>
      </c>
      <c r="AK141" s="841">
        <f t="shared" si="186"/>
        <v>0.22653185740434062</v>
      </c>
      <c r="AL141" s="841">
        <f t="shared" si="186"/>
        <v>0.22410695634008773</v>
      </c>
      <c r="AM141" s="841">
        <f t="shared" si="186"/>
        <v>0.23169859610824645</v>
      </c>
      <c r="AN141" s="841">
        <f t="shared" si="186"/>
        <v>0.22807142349007611</v>
      </c>
      <c r="AO141" s="841">
        <f t="shared" si="186"/>
        <v>0.22932663387707442</v>
      </c>
      <c r="AP141" s="841">
        <f t="shared" si="186"/>
        <v>0.22112449799196787</v>
      </c>
      <c r="AQ141" s="841">
        <f t="shared" si="186"/>
        <v>0.21558191403081914</v>
      </c>
      <c r="AR141" s="842"/>
      <c r="AS141" s="841">
        <f t="shared" ref="AS141:BE141" si="187">D139</f>
        <v>0.23508901331008816</v>
      </c>
      <c r="AT141" s="841">
        <f t="shared" si="187"/>
        <v>0.23633105246008471</v>
      </c>
      <c r="AU141" s="841">
        <f t="shared" si="187"/>
        <v>0.24213788702865302</v>
      </c>
      <c r="AV141" s="841">
        <f t="shared" si="187"/>
        <v>0.24190505173463178</v>
      </c>
      <c r="AW141" s="841">
        <f t="shared" si="187"/>
        <v>0.24425054331960167</v>
      </c>
      <c r="AX141" s="841">
        <f t="shared" si="187"/>
        <v>0.24863072931680599</v>
      </c>
      <c r="AY141" s="841">
        <f t="shared" si="187"/>
        <v>0.24901616303583979</v>
      </c>
      <c r="AZ141" s="841">
        <f t="shared" si="187"/>
        <v>0.24821253329594842</v>
      </c>
      <c r="BA141" s="841">
        <f t="shared" si="187"/>
        <v>0.24854506742370475</v>
      </c>
      <c r="BB141" s="841">
        <f t="shared" si="187"/>
        <v>0.25192204541391022</v>
      </c>
      <c r="BC141" s="841">
        <f t="shared" si="187"/>
        <v>0.24854506742370475</v>
      </c>
      <c r="BD141" s="841">
        <f t="shared" si="187"/>
        <v>0.24943922613206224</v>
      </c>
      <c r="BE141" s="841">
        <f t="shared" si="187"/>
        <v>0.2775830646291883</v>
      </c>
      <c r="BF141" s="842"/>
      <c r="BG141" s="841">
        <f t="shared" ref="BG141:BS141" si="188">D145</f>
        <v>0.28659876173357302</v>
      </c>
      <c r="BH141" s="841">
        <f t="shared" si="188"/>
        <v>0.29800876144962168</v>
      </c>
      <c r="BI141" s="841">
        <f t="shared" si="188"/>
        <v>0.26997942712454503</v>
      </c>
      <c r="BJ141" s="841">
        <f t="shared" si="188"/>
        <v>0.27081091656069645</v>
      </c>
      <c r="BK141" s="841">
        <f t="shared" si="188"/>
        <v>0.27226456786751746</v>
      </c>
      <c r="BL141" s="841">
        <f t="shared" si="188"/>
        <v>0.25967076786748916</v>
      </c>
      <c r="BM141" s="841">
        <f t="shared" si="188"/>
        <v>0.25994158616041341</v>
      </c>
      <c r="BN141" s="841">
        <f t="shared" si="188"/>
        <v>0.26325483861826632</v>
      </c>
      <c r="BO141" s="841">
        <f t="shared" si="188"/>
        <v>0.26401589375136075</v>
      </c>
      <c r="BP141" s="841">
        <f t="shared" si="188"/>
        <v>0.26532686893963092</v>
      </c>
      <c r="BQ141" s="841">
        <f t="shared" si="188"/>
        <v>0.26860504527187334</v>
      </c>
      <c r="BR141" s="841">
        <f t="shared" si="188"/>
        <v>0.27282901649079533</v>
      </c>
      <c r="BS141" s="841">
        <f t="shared" si="188"/>
        <v>0.26922886065899165</v>
      </c>
      <c r="BT141" s="834"/>
      <c r="BU141" s="843">
        <f t="shared" ref="BU141:CG141" si="189">D151</f>
        <v>0.23181399631675875</v>
      </c>
      <c r="BV141" s="843">
        <f t="shared" si="189"/>
        <v>0.24850339829860016</v>
      </c>
      <c r="BW141" s="843">
        <f t="shared" si="189"/>
        <v>0.26304179993382598</v>
      </c>
      <c r="BX141" s="843">
        <f t="shared" si="189"/>
        <v>0.26370628989144074</v>
      </c>
      <c r="BY141" s="843">
        <f t="shared" si="189"/>
        <v>0.27039422655380568</v>
      </c>
      <c r="BZ141" s="843">
        <f t="shared" si="189"/>
        <v>0.29248316447248679</v>
      </c>
      <c r="CA141" s="843">
        <f t="shared" si="189"/>
        <v>0.29567498720893526</v>
      </c>
      <c r="CB141" s="843">
        <f t="shared" si="189"/>
        <v>0.28810538305771177</v>
      </c>
      <c r="CC141" s="843">
        <f t="shared" si="189"/>
        <v>0.29068519799845571</v>
      </c>
      <c r="CD141" s="843">
        <f t="shared" si="189"/>
        <v>0.27968362574934874</v>
      </c>
      <c r="CE141" s="843">
        <f t="shared" si="189"/>
        <v>0.28990151265256114</v>
      </c>
      <c r="CF141" s="843">
        <f t="shared" si="189"/>
        <v>0</v>
      </c>
      <c r="CG141" s="843">
        <f t="shared" si="189"/>
        <v>0.30554553844837384</v>
      </c>
      <c r="CH141" s="834"/>
      <c r="CI141" s="843">
        <f t="shared" ref="CI141:CU141" si="190">D157</f>
        <v>0.2789674691400123</v>
      </c>
      <c r="CJ141" s="843">
        <f t="shared" si="190"/>
        <v>0.2168820218317723</v>
      </c>
      <c r="CK141" s="843">
        <f t="shared" si="190"/>
        <v>0.22109659278862057</v>
      </c>
      <c r="CL141" s="843">
        <f t="shared" si="190"/>
        <v>0.2232541355668243</v>
      </c>
      <c r="CM141" s="843">
        <f t="shared" si="190"/>
        <v>0.22315351194786387</v>
      </c>
      <c r="CN141" s="843">
        <f t="shared" si="190"/>
        <v>0.22149290741348504</v>
      </c>
      <c r="CO141" s="843">
        <f t="shared" si="190"/>
        <v>0.22285601180408104</v>
      </c>
      <c r="CP141" s="843">
        <f t="shared" si="190"/>
        <v>0.22951408486838729</v>
      </c>
      <c r="CQ141" s="843">
        <f t="shared" si="190"/>
        <v>0.22214226973684212</v>
      </c>
      <c r="CR141" s="843">
        <f t="shared" si="190"/>
        <v>0.22615971453180755</v>
      </c>
      <c r="CS141" s="843">
        <f t="shared" si="190"/>
        <v>0.22146184543950959</v>
      </c>
      <c r="CT141" s="843">
        <f t="shared" si="190"/>
        <v>0.22444201414026277</v>
      </c>
      <c r="CU141" s="843">
        <f t="shared" si="190"/>
        <v>0.21592860125906793</v>
      </c>
    </row>
    <row r="142" spans="1:99" s="1086" customFormat="1">
      <c r="A142" s="1356"/>
      <c r="B142" s="809" t="s">
        <v>118</v>
      </c>
      <c r="C142" s="821">
        <f t="shared" ref="C142:N142" si="191">C109/C$110</f>
        <v>1.8985070341659489E-2</v>
      </c>
      <c r="D142" s="821">
        <f t="shared" si="191"/>
        <v>2.0350688973078082E-2</v>
      </c>
      <c r="E142" s="821">
        <f t="shared" si="191"/>
        <v>2.0821114369501466E-2</v>
      </c>
      <c r="F142" s="821">
        <f t="shared" si="191"/>
        <v>2.187718392026982E-2</v>
      </c>
      <c r="G142" s="821">
        <f t="shared" si="191"/>
        <v>2.1545952525867315E-2</v>
      </c>
      <c r="H142" s="821">
        <f t="shared" si="191"/>
        <v>2.0046060527425476E-2</v>
      </c>
      <c r="I142" s="821">
        <f t="shared" si="191"/>
        <v>1.8809455174401846E-2</v>
      </c>
      <c r="J142" s="821">
        <f t="shared" si="191"/>
        <v>1.9149683766690091E-2</v>
      </c>
      <c r="K142" s="821">
        <f t="shared" si="191"/>
        <v>1.9171456610121967E-2</v>
      </c>
      <c r="L142" s="821">
        <f t="shared" si="191"/>
        <v>1.9056068133427962E-2</v>
      </c>
      <c r="M142" s="821">
        <f t="shared" si="191"/>
        <v>1.8165564097979616E-2</v>
      </c>
      <c r="N142" s="821">
        <f t="shared" si="191"/>
        <v>1.9056068133427962E-2</v>
      </c>
      <c r="O142" s="821">
        <f t="shared" si="130"/>
        <v>1.8084957240992568E-2</v>
      </c>
      <c r="P142" s="821">
        <f t="shared" si="130"/>
        <v>1.9627085377821395E-2</v>
      </c>
      <c r="Q142" s="435"/>
      <c r="R142" s="9"/>
      <c r="S142" s="434"/>
      <c r="T142" s="434"/>
      <c r="U142" s="434"/>
      <c r="V142" s="434"/>
      <c r="W142" s="434"/>
      <c r="X142" s="434"/>
      <c r="Y142" s="434"/>
      <c r="Z142" s="434"/>
      <c r="AA142" s="435"/>
      <c r="AB142" s="1116"/>
      <c r="AC142" s="829"/>
      <c r="AD142" s="840" t="str">
        <f t="shared" si="185"/>
        <v>6 to 10</v>
      </c>
      <c r="AE142" s="841">
        <f t="shared" ref="AE142:AQ142" si="192">D134</f>
        <v>3.7676519352810016E-2</v>
      </c>
      <c r="AF142" s="841">
        <f t="shared" si="192"/>
        <v>3.2794879609875038E-2</v>
      </c>
      <c r="AG142" s="841">
        <f t="shared" si="192"/>
        <v>3.4187036929000644E-2</v>
      </c>
      <c r="AH142" s="841">
        <f t="shared" si="192"/>
        <v>3.5589874593590337E-2</v>
      </c>
      <c r="AI142" s="841">
        <f t="shared" si="192"/>
        <v>3.250289687137891E-2</v>
      </c>
      <c r="AJ142" s="841">
        <f t="shared" si="192"/>
        <v>3.3633163863903012E-2</v>
      </c>
      <c r="AK142" s="841">
        <f t="shared" si="192"/>
        <v>3.4602980911705744E-2</v>
      </c>
      <c r="AL142" s="841">
        <f t="shared" si="192"/>
        <v>3.3758094840192189E-2</v>
      </c>
      <c r="AM142" s="841">
        <f t="shared" si="192"/>
        <v>3.63205239188528E-2</v>
      </c>
      <c r="AN142" s="841">
        <f t="shared" si="192"/>
        <v>3.5427189300704279E-2</v>
      </c>
      <c r="AO142" s="841">
        <f t="shared" si="192"/>
        <v>3.6729061250486535E-2</v>
      </c>
      <c r="AP142" s="841">
        <f t="shared" si="192"/>
        <v>3.381526104417671E-2</v>
      </c>
      <c r="AQ142" s="841">
        <f t="shared" si="192"/>
        <v>3.2897404703974044E-2</v>
      </c>
      <c r="AR142" s="832"/>
      <c r="AS142" s="841">
        <f t="shared" ref="AS142:BE142" si="193">D140</f>
        <v>4.3349984912998289E-2</v>
      </c>
      <c r="AT142" s="841">
        <f t="shared" si="193"/>
        <v>4.5063538611925712E-2</v>
      </c>
      <c r="AU142" s="841">
        <f t="shared" si="193"/>
        <v>4.3480903041536262E-2</v>
      </c>
      <c r="AV142" s="841">
        <f t="shared" si="193"/>
        <v>4.4917833231892877E-2</v>
      </c>
      <c r="AW142" s="841">
        <f t="shared" si="193"/>
        <v>4.2687080346427063E-2</v>
      </c>
      <c r="AX142" s="841">
        <f t="shared" si="193"/>
        <v>4.3312193715768235E-2</v>
      </c>
      <c r="AY142" s="841">
        <f t="shared" si="193"/>
        <v>4.1777933942375264E-2</v>
      </c>
      <c r="AZ142" s="841">
        <f t="shared" si="193"/>
        <v>4.1707556427870461E-2</v>
      </c>
      <c r="BA142" s="841">
        <f t="shared" si="193"/>
        <v>4.2902767920511002E-2</v>
      </c>
      <c r="BB142" s="841">
        <f t="shared" si="193"/>
        <v>4.3447166100482749E-2</v>
      </c>
      <c r="BC142" s="841">
        <f t="shared" si="193"/>
        <v>4.2902767920511002E-2</v>
      </c>
      <c r="BD142" s="841">
        <f t="shared" si="193"/>
        <v>4.4195990466844248E-2</v>
      </c>
      <c r="BE142" s="841">
        <f t="shared" si="193"/>
        <v>4.7981214075424085E-2</v>
      </c>
      <c r="BF142" s="832"/>
      <c r="BG142" s="841">
        <f t="shared" ref="BG142:BS142" si="194">D146</f>
        <v>3.0507289794287996E-2</v>
      </c>
      <c r="BH142" s="841">
        <f t="shared" si="194"/>
        <v>3.5085623257666267E-2</v>
      </c>
      <c r="BI142" s="841">
        <f t="shared" si="194"/>
        <v>3.1713878778287706E-2</v>
      </c>
      <c r="BJ142" s="841">
        <f t="shared" si="194"/>
        <v>3.1864423359092245E-2</v>
      </c>
      <c r="BK142" s="841">
        <f t="shared" si="194"/>
        <v>2.9719194577550463E-2</v>
      </c>
      <c r="BL142" s="841">
        <f t="shared" si="194"/>
        <v>2.7674585051634233E-2</v>
      </c>
      <c r="BM142" s="841">
        <f t="shared" si="194"/>
        <v>2.6799756074076451E-2</v>
      </c>
      <c r="BN142" s="841">
        <f t="shared" si="194"/>
        <v>2.728895689875032E-2</v>
      </c>
      <c r="BO142" s="841">
        <f t="shared" si="194"/>
        <v>2.5990637927280645E-2</v>
      </c>
      <c r="BP142" s="841">
        <f t="shared" si="194"/>
        <v>2.5675112084245649E-2</v>
      </c>
      <c r="BQ142" s="841">
        <f t="shared" si="194"/>
        <v>2.5734760083280878E-2</v>
      </c>
      <c r="BR142" s="841">
        <f t="shared" si="194"/>
        <v>2.7911013658581153E-2</v>
      </c>
      <c r="BS142" s="841">
        <f t="shared" si="194"/>
        <v>2.8012107979356889E-2</v>
      </c>
      <c r="BT142" s="834"/>
      <c r="BU142" s="843">
        <f t="shared" ref="BU142:CG142" si="195">D152</f>
        <v>3.3005294659300181E-2</v>
      </c>
      <c r="BV142" s="843">
        <f t="shared" si="195"/>
        <v>3.4770671107710309E-2</v>
      </c>
      <c r="BW142" s="843">
        <f t="shared" si="195"/>
        <v>3.7020697768464395E-2</v>
      </c>
      <c r="BX142" s="843">
        <f t="shared" si="195"/>
        <v>3.7677522593784665E-2</v>
      </c>
      <c r="BY142" s="843">
        <f t="shared" si="195"/>
        <v>4.0080261693589178E-2</v>
      </c>
      <c r="BZ142" s="843">
        <f t="shared" si="195"/>
        <v>4.6629861068980163E-2</v>
      </c>
      <c r="CA142" s="843">
        <f t="shared" si="195"/>
        <v>4.7702507048693131E-2</v>
      </c>
      <c r="CB142" s="843">
        <f t="shared" si="195"/>
        <v>4.5361542355720555E-2</v>
      </c>
      <c r="CC142" s="843">
        <f t="shared" si="195"/>
        <v>4.6839746096687826E-2</v>
      </c>
      <c r="CD142" s="843">
        <f t="shared" si="195"/>
        <v>4.4777837063076073E-2</v>
      </c>
      <c r="CE142" s="843">
        <f t="shared" si="195"/>
        <v>5.0289807266387071E-2</v>
      </c>
      <c r="CF142" s="843">
        <f t="shared" si="195"/>
        <v>0</v>
      </c>
      <c r="CG142" s="843">
        <f t="shared" si="195"/>
        <v>4.5309243379031715E-2</v>
      </c>
      <c r="CH142" s="834"/>
      <c r="CI142" s="843">
        <f t="shared" ref="CI142:CU142" si="196">D158</f>
        <v>5.0126167905612765E-2</v>
      </c>
      <c r="CJ142" s="843">
        <f t="shared" si="196"/>
        <v>3.6211572206649806E-2</v>
      </c>
      <c r="CK142" s="843">
        <f t="shared" si="196"/>
        <v>3.6635792259345018E-2</v>
      </c>
      <c r="CL142" s="843">
        <f t="shared" si="196"/>
        <v>3.6674073652023624E-2</v>
      </c>
      <c r="CM142" s="843">
        <f t="shared" si="196"/>
        <v>3.6133236784938454E-2</v>
      </c>
      <c r="CN142" s="843">
        <f t="shared" si="196"/>
        <v>3.8963643656784452E-2</v>
      </c>
      <c r="CO142" s="843">
        <f t="shared" si="196"/>
        <v>3.7715478461150899E-2</v>
      </c>
      <c r="CP142" s="843">
        <f t="shared" si="196"/>
        <v>3.8637179947662782E-2</v>
      </c>
      <c r="CQ142" s="843">
        <f t="shared" si="196"/>
        <v>3.7212171052631582E-2</v>
      </c>
      <c r="CR142" s="843">
        <f t="shared" si="196"/>
        <v>3.7729174357081334E-2</v>
      </c>
      <c r="CS142" s="843">
        <f t="shared" si="196"/>
        <v>3.8511145167898275E-2</v>
      </c>
      <c r="CT142" s="843">
        <f t="shared" si="196"/>
        <v>3.578195037045024E-2</v>
      </c>
      <c r="CU142" s="843">
        <f t="shared" si="196"/>
        <v>3.6194335741133163E-2</v>
      </c>
    </row>
    <row r="143" spans="1:99" s="1086" customFormat="1">
      <c r="A143" s="1357"/>
      <c r="B143" s="807" t="s">
        <v>52</v>
      </c>
      <c r="C143" s="819">
        <f t="shared" ref="C143:N143" si="197">SUM(C138:C142)</f>
        <v>1</v>
      </c>
      <c r="D143" s="819">
        <f t="shared" si="197"/>
        <v>0.99999999999999989</v>
      </c>
      <c r="E143" s="819">
        <f t="shared" si="197"/>
        <v>1</v>
      </c>
      <c r="F143" s="819">
        <f t="shared" si="197"/>
        <v>1</v>
      </c>
      <c r="G143" s="819">
        <f t="shared" si="197"/>
        <v>1</v>
      </c>
      <c r="H143" s="819">
        <f t="shared" si="197"/>
        <v>1</v>
      </c>
      <c r="I143" s="819">
        <f t="shared" si="197"/>
        <v>0.99999999999999989</v>
      </c>
      <c r="J143" s="819">
        <f t="shared" si="197"/>
        <v>1</v>
      </c>
      <c r="K143" s="819">
        <f t="shared" si="197"/>
        <v>1</v>
      </c>
      <c r="L143" s="819">
        <f t="shared" si="197"/>
        <v>1</v>
      </c>
      <c r="M143" s="819">
        <f t="shared" si="197"/>
        <v>1</v>
      </c>
      <c r="N143" s="819">
        <f t="shared" si="197"/>
        <v>1</v>
      </c>
      <c r="O143" s="819">
        <f>SUM(O138:O142)</f>
        <v>1</v>
      </c>
      <c r="P143" s="819">
        <f>SUM(P138:P142)</f>
        <v>1</v>
      </c>
      <c r="AA143" s="9"/>
      <c r="AB143" s="1117"/>
      <c r="AC143" s="790"/>
      <c r="AD143" s="840" t="str">
        <f t="shared" si="185"/>
        <v>11 to 50</v>
      </c>
      <c r="AE143" s="841">
        <f t="shared" ref="AE143:AQ143" si="198">D135</f>
        <v>3.5389628952032473E-2</v>
      </c>
      <c r="AF143" s="841">
        <f t="shared" si="198"/>
        <v>3.1149039926851571E-2</v>
      </c>
      <c r="AG143" s="841">
        <f t="shared" si="198"/>
        <v>3.1153374948952803E-2</v>
      </c>
      <c r="AH143" s="841">
        <f t="shared" si="198"/>
        <v>3.1583836507199259E-2</v>
      </c>
      <c r="AI143" s="841">
        <f t="shared" si="198"/>
        <v>3.2097334878331399E-2</v>
      </c>
      <c r="AJ143" s="841">
        <f t="shared" si="198"/>
        <v>3.1677747360187719E-2</v>
      </c>
      <c r="AK143" s="841">
        <f t="shared" si="198"/>
        <v>3.2249629565065809E-2</v>
      </c>
      <c r="AL143" s="841">
        <f t="shared" si="198"/>
        <v>3.2421140589095468E-2</v>
      </c>
      <c r="AM143" s="841">
        <f t="shared" si="198"/>
        <v>3.3460047423689264E-2</v>
      </c>
      <c r="AN143" s="841">
        <f t="shared" si="198"/>
        <v>3.4146688482606533E-2</v>
      </c>
      <c r="AO143" s="841">
        <f t="shared" si="198"/>
        <v>3.2978309330880008E-2</v>
      </c>
      <c r="AP143" s="841">
        <f t="shared" si="198"/>
        <v>3.2730923694779118E-2</v>
      </c>
      <c r="AQ143" s="841">
        <f t="shared" si="198"/>
        <v>3.2491889699918897E-2</v>
      </c>
      <c r="AR143" s="833"/>
      <c r="AS143" s="841">
        <f t="shared" ref="AS143:BE143" si="199">D141</f>
        <v>5.059174573373118E-2</v>
      </c>
      <c r="AT143" s="841">
        <f t="shared" si="199"/>
        <v>5.0439882697947212E-2</v>
      </c>
      <c r="AU143" s="841">
        <f t="shared" si="199"/>
        <v>5.095560754762845E-2</v>
      </c>
      <c r="AV143" s="841">
        <f t="shared" si="199"/>
        <v>5.1034692635423005E-2</v>
      </c>
      <c r="AW143" s="841">
        <f t="shared" si="199"/>
        <v>4.8752797690486231E-2</v>
      </c>
      <c r="AX143" s="841">
        <f t="shared" si="199"/>
        <v>4.871720957048141E-2</v>
      </c>
      <c r="AY143" s="841">
        <f t="shared" si="199"/>
        <v>4.9754040758959943E-2</v>
      </c>
      <c r="AZ143" s="841">
        <f t="shared" si="199"/>
        <v>4.8997616711061266E-2</v>
      </c>
      <c r="BA143" s="841">
        <f t="shared" si="199"/>
        <v>4.8403122782114977E-2</v>
      </c>
      <c r="BB143" s="841">
        <f t="shared" si="199"/>
        <v>4.519935633827999E-2</v>
      </c>
      <c r="BC143" s="841">
        <f t="shared" si="199"/>
        <v>4.8403122782114977E-2</v>
      </c>
      <c r="BD143" s="841">
        <f t="shared" si="199"/>
        <v>4.5983457170895838E-2</v>
      </c>
      <c r="BE143" s="841">
        <f t="shared" si="199"/>
        <v>5.1345857283050612E-2</v>
      </c>
      <c r="BF143" s="833"/>
      <c r="BG143" s="841">
        <f t="shared" ref="BG143:BS143" si="200">D147</f>
        <v>2.3017775114839226E-2</v>
      </c>
      <c r="BH143" s="841">
        <f t="shared" si="200"/>
        <v>2.3576264436479491E-2</v>
      </c>
      <c r="BI143" s="841">
        <f t="shared" si="200"/>
        <v>2.2313657224244342E-2</v>
      </c>
      <c r="BJ143" s="841">
        <f t="shared" si="200"/>
        <v>2.002836740682774E-2</v>
      </c>
      <c r="BK143" s="841">
        <f t="shared" si="200"/>
        <v>2.110385579859473E-2</v>
      </c>
      <c r="BL143" s="841">
        <f t="shared" si="200"/>
        <v>2.0449200777069628E-2</v>
      </c>
      <c r="BM143" s="841">
        <f t="shared" si="200"/>
        <v>2.0573225920338927E-2</v>
      </c>
      <c r="BN143" s="841">
        <f t="shared" si="200"/>
        <v>1.9241123296211284E-2</v>
      </c>
      <c r="BO143" s="841">
        <f t="shared" si="200"/>
        <v>1.8887437404746354E-2</v>
      </c>
      <c r="BP143" s="841">
        <f t="shared" si="200"/>
        <v>1.8845792930872692E-2</v>
      </c>
      <c r="BQ143" s="841">
        <f t="shared" si="200"/>
        <v>1.7890863312835906E-2</v>
      </c>
      <c r="BR143" s="841">
        <f t="shared" si="200"/>
        <v>1.8477913297702254E-2</v>
      </c>
      <c r="BS143" s="841">
        <f t="shared" si="200"/>
        <v>1.8633386264390633E-2</v>
      </c>
      <c r="BT143" s="834"/>
      <c r="BU143" s="843">
        <f t="shared" ref="BU143:CG143" si="201">D153</f>
        <v>3.0616942909760591E-2</v>
      </c>
      <c r="BV143" s="843">
        <f t="shared" si="201"/>
        <v>3.0359634514110816E-2</v>
      </c>
      <c r="BW143" s="843">
        <f t="shared" si="201"/>
        <v>3.2572331899562518E-2</v>
      </c>
      <c r="BX143" s="843">
        <f t="shared" si="201"/>
        <v>3.2531413088938595E-2</v>
      </c>
      <c r="BY143" s="843">
        <f t="shared" si="201"/>
        <v>3.3537921964050858E-2</v>
      </c>
      <c r="BZ143" s="843">
        <f t="shared" si="201"/>
        <v>3.6886489109992114E-2</v>
      </c>
      <c r="CA143" s="843">
        <f t="shared" si="201"/>
        <v>3.8242562131916701E-2</v>
      </c>
      <c r="CB143" s="843">
        <f t="shared" si="201"/>
        <v>3.4973000337495778E-2</v>
      </c>
      <c r="CC143" s="843">
        <f t="shared" si="201"/>
        <v>3.4555719342578943E-2</v>
      </c>
      <c r="CD143" s="843">
        <f t="shared" si="201"/>
        <v>3.4880679618760659E-2</v>
      </c>
      <c r="CE143" s="843">
        <f t="shared" si="201"/>
        <v>3.7792752462183686E-2</v>
      </c>
      <c r="CF143" s="843">
        <f t="shared" si="201"/>
        <v>0</v>
      </c>
      <c r="CG143" s="843">
        <f t="shared" si="201"/>
        <v>3.6605565708487921E-2</v>
      </c>
      <c r="CH143" s="834"/>
      <c r="CI143" s="843">
        <f t="shared" ref="CI143:CU143" si="202">D159</f>
        <v>5.2069835640728361E-2</v>
      </c>
      <c r="CJ143" s="843">
        <f t="shared" si="202"/>
        <v>3.6097627674847886E-2</v>
      </c>
      <c r="CK143" s="843">
        <f t="shared" si="202"/>
        <v>3.5643400595434999E-2</v>
      </c>
      <c r="CL143" s="843">
        <f t="shared" si="202"/>
        <v>3.5420583822384291E-2</v>
      </c>
      <c r="CM143" s="843">
        <f t="shared" si="202"/>
        <v>3.6784938450398263E-2</v>
      </c>
      <c r="CN143" s="843">
        <f t="shared" si="202"/>
        <v>3.662983626882544E-2</v>
      </c>
      <c r="CO143" s="843">
        <f t="shared" si="202"/>
        <v>3.7121675603699569E-2</v>
      </c>
      <c r="CP143" s="843">
        <f t="shared" si="202"/>
        <v>3.7046539073323413E-2</v>
      </c>
      <c r="CQ143" s="843">
        <f t="shared" si="202"/>
        <v>3.6766721491228067E-2</v>
      </c>
      <c r="CR143" s="843">
        <f t="shared" si="202"/>
        <v>3.7006275378368404E-2</v>
      </c>
      <c r="CS143" s="843">
        <f t="shared" si="202"/>
        <v>3.6386810919078041E-2</v>
      </c>
      <c r="CT143" s="843">
        <f t="shared" si="202"/>
        <v>3.5227430261394618E-2</v>
      </c>
      <c r="CU143" s="843">
        <f t="shared" si="202"/>
        <v>3.5204405190948321E-2</v>
      </c>
    </row>
    <row r="144" spans="1:99" s="1086" customFormat="1">
      <c r="A144" s="1352" t="s">
        <v>42</v>
      </c>
      <c r="B144" s="806">
        <v>1</v>
      </c>
      <c r="C144" s="816">
        <f t="shared" ref="C144:N144" si="203">C111/C$116</f>
        <v>0.66953309863219257</v>
      </c>
      <c r="D144" s="816">
        <f t="shared" si="203"/>
        <v>0.65313561014579591</v>
      </c>
      <c r="E144" s="816">
        <f t="shared" si="203"/>
        <v>0.63556352050975706</v>
      </c>
      <c r="F144" s="816">
        <f t="shared" si="203"/>
        <v>0.6685551511315081</v>
      </c>
      <c r="G144" s="816">
        <f t="shared" si="203"/>
        <v>0.67047344223809058</v>
      </c>
      <c r="H144" s="816">
        <f t="shared" si="203"/>
        <v>0.66998535144126925</v>
      </c>
      <c r="I144" s="816">
        <f t="shared" si="203"/>
        <v>0.68457107801370098</v>
      </c>
      <c r="J144" s="816">
        <f t="shared" si="203"/>
        <v>0.68549603620374233</v>
      </c>
      <c r="K144" s="816">
        <f t="shared" si="203"/>
        <v>0.68313072062115676</v>
      </c>
      <c r="L144" s="816">
        <f t="shared" si="203"/>
        <v>0.68471042891356415</v>
      </c>
      <c r="M144" s="816">
        <f t="shared" si="203"/>
        <v>0.68392242727557084</v>
      </c>
      <c r="N144" s="816">
        <f t="shared" si="203"/>
        <v>0.681571684501041</v>
      </c>
      <c r="O144" s="816">
        <f t="shared" ref="O144:P148" si="204">O111/O$116</f>
        <v>0.67440957471106844</v>
      </c>
      <c r="P144" s="816">
        <f t="shared" si="204"/>
        <v>0.67764986105597458</v>
      </c>
      <c r="AA144" s="9"/>
      <c r="AB144" s="1094"/>
      <c r="AC144" s="1090"/>
      <c r="AD144" s="840" t="str">
        <f t="shared" si="185"/>
        <v>51 and more</v>
      </c>
      <c r="AE144" s="841">
        <f t="shared" ref="AE144:AQ144" si="205">D136</f>
        <v>7.60391058258533E-3</v>
      </c>
      <c r="AF144" s="841">
        <f t="shared" si="205"/>
        <v>1.0240780249923804E-2</v>
      </c>
      <c r="AG144" s="841">
        <f t="shared" si="205"/>
        <v>9.7427221282305587E-3</v>
      </c>
      <c r="AH144" s="841">
        <f t="shared" si="205"/>
        <v>1.0624709707385044E-2</v>
      </c>
      <c r="AI144" s="841">
        <f t="shared" si="205"/>
        <v>1.0544611819235225E-2</v>
      </c>
      <c r="AJ144" s="841">
        <f t="shared" si="205"/>
        <v>1.0224034862282809E-2</v>
      </c>
      <c r="AK144" s="841">
        <f t="shared" si="205"/>
        <v>1.1069467445306371E-2</v>
      </c>
      <c r="AL144" s="841">
        <f t="shared" si="205"/>
        <v>1.1280551493628577E-2</v>
      </c>
      <c r="AM144" s="841">
        <f t="shared" si="205"/>
        <v>1.2194662953065602E-2</v>
      </c>
      <c r="AN144" s="841">
        <f t="shared" si="205"/>
        <v>1.1737924165895995E-2</v>
      </c>
      <c r="AO144" s="841">
        <f t="shared" si="205"/>
        <v>1.164148473160893E-2</v>
      </c>
      <c r="AP144" s="841">
        <f t="shared" si="205"/>
        <v>1.0883534136546184E-2</v>
      </c>
      <c r="AQ144" s="841">
        <f t="shared" si="205"/>
        <v>1.0847526358475263E-2</v>
      </c>
      <c r="AR144" s="834"/>
      <c r="AS144" s="841">
        <f t="shared" ref="AS144:BE144" si="206">D142</f>
        <v>2.0350688973078082E-2</v>
      </c>
      <c r="AT144" s="841">
        <f t="shared" si="206"/>
        <v>2.0821114369501466E-2</v>
      </c>
      <c r="AU144" s="841">
        <f t="shared" si="206"/>
        <v>2.187718392026982E-2</v>
      </c>
      <c r="AV144" s="841">
        <f t="shared" si="206"/>
        <v>2.1545952525867315E-2</v>
      </c>
      <c r="AW144" s="841">
        <f t="shared" si="206"/>
        <v>2.0046060527425476E-2</v>
      </c>
      <c r="AX144" s="841">
        <f t="shared" si="206"/>
        <v>1.8809455174401846E-2</v>
      </c>
      <c r="AY144" s="841">
        <f t="shared" si="206"/>
        <v>1.9149683766690091E-2</v>
      </c>
      <c r="AZ144" s="841">
        <f t="shared" si="206"/>
        <v>1.9171456610121967E-2</v>
      </c>
      <c r="BA144" s="841">
        <f t="shared" si="206"/>
        <v>1.9056068133427962E-2</v>
      </c>
      <c r="BB144" s="841">
        <f t="shared" si="206"/>
        <v>1.8165564097979616E-2</v>
      </c>
      <c r="BC144" s="841">
        <f t="shared" si="206"/>
        <v>1.9056068133427962E-2</v>
      </c>
      <c r="BD144" s="841">
        <f t="shared" si="206"/>
        <v>1.8084957240992568E-2</v>
      </c>
      <c r="BE144" s="841">
        <f t="shared" si="206"/>
        <v>1.9627085377821395E-2</v>
      </c>
      <c r="BF144" s="834"/>
      <c r="BG144" s="841">
        <f t="shared" ref="BG144:BS144" si="207">D148</f>
        <v>6.7405632115038949E-3</v>
      </c>
      <c r="BH144" s="841">
        <f t="shared" si="207"/>
        <v>7.7658303464755076E-3</v>
      </c>
      <c r="BI144" s="841">
        <f t="shared" si="207"/>
        <v>7.4378857414147811E-3</v>
      </c>
      <c r="BJ144" s="841">
        <f t="shared" si="207"/>
        <v>6.8228504352929667E-3</v>
      </c>
      <c r="BK144" s="841">
        <f t="shared" si="207"/>
        <v>6.9270303150681528E-3</v>
      </c>
      <c r="BL144" s="841">
        <f t="shared" si="207"/>
        <v>7.6343682901059947E-3</v>
      </c>
      <c r="BM144" s="841">
        <f t="shared" si="207"/>
        <v>7.1893956414288921E-3</v>
      </c>
      <c r="BN144" s="841">
        <f t="shared" si="207"/>
        <v>7.0843605656153476E-3</v>
      </c>
      <c r="BO144" s="841">
        <f t="shared" si="207"/>
        <v>6.3956020030481167E-3</v>
      </c>
      <c r="BP144" s="841">
        <f t="shared" si="207"/>
        <v>6.2297987696799083E-3</v>
      </c>
      <c r="BQ144" s="841">
        <f t="shared" si="207"/>
        <v>6.1976468309688669E-3</v>
      </c>
      <c r="BR144" s="841">
        <f t="shared" si="207"/>
        <v>6.3724818418528159E-3</v>
      </c>
      <c r="BS144" s="841">
        <f t="shared" si="207"/>
        <v>6.4757840412862245E-3</v>
      </c>
      <c r="BT144" s="834"/>
      <c r="BU144" s="843">
        <f t="shared" ref="BU144:CG144" si="208">D154</f>
        <v>8.3736187845303862E-3</v>
      </c>
      <c r="BV144" s="843">
        <f t="shared" si="208"/>
        <v>9.2721789620560831E-3</v>
      </c>
      <c r="BW144" s="843">
        <f t="shared" si="208"/>
        <v>9.3195103121208774E-3</v>
      </c>
      <c r="BX144" s="843">
        <f t="shared" si="208"/>
        <v>8.6738312148818934E-3</v>
      </c>
      <c r="BY144" s="843">
        <f t="shared" si="208"/>
        <v>8.9872862779482691E-3</v>
      </c>
      <c r="BZ144" s="843">
        <f t="shared" si="208"/>
        <v>9.5006976885275742E-3</v>
      </c>
      <c r="CA144" s="843">
        <f t="shared" si="208"/>
        <v>9.6994371931505216E-3</v>
      </c>
      <c r="CB144" s="843">
        <f t="shared" si="208"/>
        <v>1.0061592980087748E-2</v>
      </c>
      <c r="CC144" s="843">
        <f t="shared" si="208"/>
        <v>9.4361381025440463E-3</v>
      </c>
      <c r="CD144" s="843">
        <f t="shared" si="208"/>
        <v>1.0943368590648964E-2</v>
      </c>
      <c r="CE144" s="843">
        <f t="shared" si="208"/>
        <v>1.1092785448376608E-2</v>
      </c>
      <c r="CF144" s="843">
        <f t="shared" si="208"/>
        <v>0</v>
      </c>
      <c r="CG144" s="843">
        <f t="shared" si="208"/>
        <v>1.0341729366966364E-2</v>
      </c>
      <c r="CH144" s="834"/>
      <c r="CI144" s="843">
        <f t="shared" ref="CI144:CU144" si="209">D160</f>
        <v>1.6981518106799428E-2</v>
      </c>
      <c r="CJ144" s="843">
        <f t="shared" si="209"/>
        <v>1.1508397711993801E-2</v>
      </c>
      <c r="CK144" s="843">
        <f t="shared" si="209"/>
        <v>1.2074098577571949E-2</v>
      </c>
      <c r="CL144" s="843">
        <f t="shared" si="209"/>
        <v>1.2041099272596053E-2</v>
      </c>
      <c r="CM144" s="843">
        <f t="shared" si="209"/>
        <v>1.2490948587979726E-2</v>
      </c>
      <c r="CN144" s="843">
        <f t="shared" si="209"/>
        <v>1.2544214710279692E-2</v>
      </c>
      <c r="CO144" s="843">
        <f t="shared" si="209"/>
        <v>1.2433871954511103E-2</v>
      </c>
      <c r="CP144" s="843">
        <f t="shared" si="209"/>
        <v>1.282774898660783E-2</v>
      </c>
      <c r="CQ144" s="843">
        <f t="shared" si="209"/>
        <v>1.2232730263157895E-2</v>
      </c>
      <c r="CR144" s="843">
        <f t="shared" si="209"/>
        <v>1.2612280054140518E-2</v>
      </c>
      <c r="CS144" s="843">
        <f t="shared" si="209"/>
        <v>1.2032836137960336E-2</v>
      </c>
      <c r="CT144" s="843">
        <f t="shared" si="209"/>
        <v>1.1383065572002896E-2</v>
      </c>
      <c r="CU144" s="843">
        <f t="shared" si="209"/>
        <v>1.1337798332585729E-2</v>
      </c>
    </row>
    <row r="145" spans="1:99" s="1086" customFormat="1">
      <c r="A145" s="1353"/>
      <c r="B145" s="809" t="s">
        <v>115</v>
      </c>
      <c r="C145" s="821">
        <f t="shared" ref="C145:N145" si="210">C112/C$116</f>
        <v>0.27494661510936691</v>
      </c>
      <c r="D145" s="821">
        <f t="shared" si="210"/>
        <v>0.28659876173357302</v>
      </c>
      <c r="E145" s="821">
        <f t="shared" si="210"/>
        <v>0.29800876144962168</v>
      </c>
      <c r="F145" s="821">
        <f t="shared" si="210"/>
        <v>0.26997942712454503</v>
      </c>
      <c r="G145" s="821">
        <f t="shared" si="210"/>
        <v>0.27081091656069645</v>
      </c>
      <c r="H145" s="821">
        <f t="shared" si="210"/>
        <v>0.27226456786751746</v>
      </c>
      <c r="I145" s="821">
        <f t="shared" si="210"/>
        <v>0.25967076786748916</v>
      </c>
      <c r="J145" s="821">
        <f t="shared" si="210"/>
        <v>0.25994158616041341</v>
      </c>
      <c r="K145" s="821">
        <f t="shared" si="210"/>
        <v>0.26325483861826632</v>
      </c>
      <c r="L145" s="821">
        <f t="shared" si="210"/>
        <v>0.26401589375136075</v>
      </c>
      <c r="M145" s="821">
        <f t="shared" si="210"/>
        <v>0.26532686893963092</v>
      </c>
      <c r="N145" s="821">
        <f t="shared" si="210"/>
        <v>0.26860504527187334</v>
      </c>
      <c r="O145" s="821">
        <f t="shared" si="204"/>
        <v>0.27282901649079533</v>
      </c>
      <c r="P145" s="821">
        <f t="shared" si="204"/>
        <v>0.26922886065899165</v>
      </c>
      <c r="AA145" s="9"/>
      <c r="AB145" s="1094"/>
      <c r="AC145" s="1090"/>
      <c r="AD145" s="844"/>
      <c r="AE145" s="845">
        <f>D104</f>
        <v>17491</v>
      </c>
      <c r="AF145" s="845">
        <f t="shared" ref="AF145:AQ145" si="211">E104</f>
        <v>16405</v>
      </c>
      <c r="AG145" s="845">
        <f t="shared" si="211"/>
        <v>17141</v>
      </c>
      <c r="AH145" s="845">
        <f t="shared" si="211"/>
        <v>17224</v>
      </c>
      <c r="AI145" s="845">
        <f t="shared" si="211"/>
        <v>17260</v>
      </c>
      <c r="AJ145" s="845">
        <f t="shared" si="211"/>
        <v>17899</v>
      </c>
      <c r="AK145" s="845">
        <f t="shared" si="211"/>
        <v>22946</v>
      </c>
      <c r="AL145" s="845">
        <f t="shared" si="211"/>
        <v>23935</v>
      </c>
      <c r="AM145" s="845">
        <f t="shared" si="211"/>
        <v>26569</v>
      </c>
      <c r="AN145" s="845">
        <f t="shared" si="211"/>
        <v>28114</v>
      </c>
      <c r="AO145" s="845">
        <f t="shared" si="211"/>
        <v>28261</v>
      </c>
      <c r="AP145" s="845">
        <f t="shared" si="211"/>
        <v>24900</v>
      </c>
      <c r="AQ145" s="845">
        <f t="shared" si="211"/>
        <v>19728</v>
      </c>
      <c r="AR145" s="845"/>
      <c r="AS145" s="845">
        <f>D110</f>
        <v>29827</v>
      </c>
      <c r="AT145" s="845">
        <f t="shared" ref="AT145:BE145" si="212">E110</f>
        <v>30690</v>
      </c>
      <c r="AU145" s="845">
        <f t="shared" si="212"/>
        <v>32911</v>
      </c>
      <c r="AV145" s="845">
        <f t="shared" si="212"/>
        <v>32860</v>
      </c>
      <c r="AW145" s="845">
        <f t="shared" si="212"/>
        <v>30829</v>
      </c>
      <c r="AX145" s="845">
        <f t="shared" si="212"/>
        <v>27752</v>
      </c>
      <c r="AY145" s="845">
        <f t="shared" si="212"/>
        <v>28460</v>
      </c>
      <c r="AZ145" s="845">
        <f t="shared" si="212"/>
        <v>28532</v>
      </c>
      <c r="BA145" s="845">
        <f t="shared" si="212"/>
        <v>28180</v>
      </c>
      <c r="BB145" s="845">
        <f t="shared" si="212"/>
        <v>27965</v>
      </c>
      <c r="BC145" s="845">
        <f t="shared" si="212"/>
        <v>28180</v>
      </c>
      <c r="BD145" s="845">
        <f t="shared" si="212"/>
        <v>28532</v>
      </c>
      <c r="BE145" s="845">
        <f t="shared" si="212"/>
        <v>28532</v>
      </c>
      <c r="BF145" s="845"/>
      <c r="BG145" s="845">
        <f>D116</f>
        <v>20028</v>
      </c>
      <c r="BH145" s="845">
        <f t="shared" ref="BH145:BS145" si="213">E116</f>
        <v>25110</v>
      </c>
      <c r="BI145" s="845">
        <f t="shared" si="213"/>
        <v>31595</v>
      </c>
      <c r="BJ145" s="845">
        <f t="shared" si="213"/>
        <v>40892</v>
      </c>
      <c r="BK145" s="845">
        <f t="shared" si="213"/>
        <v>40277</v>
      </c>
      <c r="BL145" s="845">
        <f t="shared" si="213"/>
        <v>29341</v>
      </c>
      <c r="BM145" s="845">
        <f t="shared" si="213"/>
        <v>31157</v>
      </c>
      <c r="BN145" s="845">
        <f t="shared" si="213"/>
        <v>35289</v>
      </c>
      <c r="BO145" s="845">
        <f t="shared" si="213"/>
        <v>36744</v>
      </c>
      <c r="BP145" s="845">
        <f t="shared" si="213"/>
        <v>38364</v>
      </c>
      <c r="BQ145" s="845">
        <f t="shared" si="213"/>
        <v>41306</v>
      </c>
      <c r="BR145" s="845">
        <f t="shared" si="213"/>
        <v>43782</v>
      </c>
      <c r="BS145" s="845">
        <f t="shared" si="213"/>
        <v>40304</v>
      </c>
      <c r="BT145" s="845"/>
      <c r="BU145" s="845">
        <f>D117</f>
        <v>24194</v>
      </c>
      <c r="BV145" s="845">
        <f t="shared" ref="BV145:CG145" si="214">E117</f>
        <v>30086</v>
      </c>
      <c r="BW145" s="845">
        <f t="shared" si="214"/>
        <v>35799</v>
      </c>
      <c r="BX145" s="845">
        <f t="shared" si="214"/>
        <v>36153</v>
      </c>
      <c r="BY145" s="845">
        <f t="shared" si="214"/>
        <v>38371</v>
      </c>
      <c r="BZ145" s="845">
        <f t="shared" si="214"/>
        <v>50644</v>
      </c>
      <c r="CA145" s="845">
        <f t="shared" si="214"/>
        <v>55914</v>
      </c>
      <c r="CB145" s="845">
        <f t="shared" si="214"/>
        <v>58928</v>
      </c>
      <c r="CC145" s="845">
        <f t="shared" si="214"/>
        <v>61677</v>
      </c>
      <c r="CD145" s="845">
        <f t="shared" si="214"/>
        <v>60190</v>
      </c>
      <c r="CE145" s="845">
        <f t="shared" si="214"/>
        <v>64822</v>
      </c>
      <c r="CF145" s="845">
        <f t="shared" si="214"/>
        <v>0</v>
      </c>
      <c r="CG145" s="845">
        <f t="shared" si="214"/>
        <v>98525</v>
      </c>
      <c r="CH145" s="845"/>
      <c r="CI145" s="845">
        <f>D123</f>
        <v>17650</v>
      </c>
      <c r="CJ145" s="845">
        <f t="shared" ref="CJ145:CU145" si="215">E123</f>
        <v>30686</v>
      </c>
      <c r="CK145" s="845">
        <f t="shared" si="215"/>
        <v>33594</v>
      </c>
      <c r="CL145" s="845">
        <f t="shared" si="215"/>
        <v>36468</v>
      </c>
      <c r="CM145" s="845">
        <f t="shared" si="215"/>
        <v>38195</v>
      </c>
      <c r="CN145" s="845">
        <f t="shared" si="215"/>
        <v>37864</v>
      </c>
      <c r="CO145" s="845">
        <f t="shared" si="215"/>
        <v>38339</v>
      </c>
      <c r="CP145" s="845">
        <f t="shared" si="215"/>
        <v>39873</v>
      </c>
      <c r="CQ145" s="845">
        <f t="shared" si="215"/>
        <v>40370</v>
      </c>
      <c r="CR145" s="845">
        <f t="shared" si="215"/>
        <v>44633</v>
      </c>
      <c r="CS145" s="845">
        <f t="shared" si="215"/>
        <v>45579</v>
      </c>
      <c r="CT145" s="845">
        <f t="shared" si="215"/>
        <v>45001</v>
      </c>
      <c r="CU145" s="845">
        <f t="shared" si="215"/>
        <v>45342</v>
      </c>
    </row>
    <row r="146" spans="1:99" s="1086" customFormat="1">
      <c r="A146" s="1353"/>
      <c r="B146" s="809" t="s">
        <v>116</v>
      </c>
      <c r="C146" s="821">
        <f t="shared" ref="C146:N146" si="216">C113/C$116</f>
        <v>2.8568130663126912E-2</v>
      </c>
      <c r="D146" s="821">
        <f t="shared" si="216"/>
        <v>3.0507289794287996E-2</v>
      </c>
      <c r="E146" s="821">
        <f t="shared" si="216"/>
        <v>3.5085623257666267E-2</v>
      </c>
      <c r="F146" s="821">
        <f t="shared" si="216"/>
        <v>3.1713878778287706E-2</v>
      </c>
      <c r="G146" s="821">
        <f t="shared" si="216"/>
        <v>3.1864423359092245E-2</v>
      </c>
      <c r="H146" s="821">
        <f t="shared" si="216"/>
        <v>2.9719194577550463E-2</v>
      </c>
      <c r="I146" s="821">
        <f t="shared" si="216"/>
        <v>2.7674585051634233E-2</v>
      </c>
      <c r="J146" s="821">
        <f t="shared" si="216"/>
        <v>2.6799756074076451E-2</v>
      </c>
      <c r="K146" s="821">
        <f t="shared" si="216"/>
        <v>2.728895689875032E-2</v>
      </c>
      <c r="L146" s="821">
        <f t="shared" si="216"/>
        <v>2.5990637927280645E-2</v>
      </c>
      <c r="M146" s="821">
        <f t="shared" si="216"/>
        <v>2.5675112084245649E-2</v>
      </c>
      <c r="N146" s="821">
        <f t="shared" si="216"/>
        <v>2.5734760083280878E-2</v>
      </c>
      <c r="O146" s="821">
        <f t="shared" si="204"/>
        <v>2.7911013658581153E-2</v>
      </c>
      <c r="P146" s="821">
        <f t="shared" si="204"/>
        <v>2.8012107979356889E-2</v>
      </c>
      <c r="AA146" s="9"/>
      <c r="AB146" s="1094"/>
      <c r="AC146" s="1090"/>
      <c r="AD146" s="1090"/>
      <c r="AE146" s="1090"/>
      <c r="AF146" s="1090"/>
      <c r="AG146" s="1090"/>
      <c r="AH146" s="1090"/>
      <c r="AI146" s="1090"/>
      <c r="AJ146" s="1090"/>
      <c r="AK146" s="1090"/>
      <c r="AL146" s="1090"/>
      <c r="AM146" s="1090"/>
      <c r="AN146" s="830"/>
      <c r="AO146" s="1090"/>
      <c r="AP146" s="1090"/>
      <c r="AQ146" s="1090"/>
      <c r="AR146" s="1090"/>
      <c r="AS146" s="1090"/>
      <c r="AT146" s="1090"/>
      <c r="AU146" s="1090"/>
      <c r="AV146" s="1090"/>
      <c r="AW146" s="1090"/>
      <c r="AX146" s="1090"/>
      <c r="AY146" s="1090"/>
      <c r="AZ146" s="1090"/>
      <c r="BA146" s="1090"/>
      <c r="BB146" s="830"/>
      <c r="BC146" s="1090"/>
      <c r="BD146" s="1090"/>
      <c r="BE146" s="1090"/>
      <c r="BF146" s="1090"/>
      <c r="BG146" s="1090"/>
      <c r="BH146" s="1090"/>
      <c r="BI146" s="1090"/>
      <c r="BJ146" s="1090"/>
      <c r="BK146" s="1090"/>
      <c r="BL146" s="1090"/>
      <c r="BM146" s="1090"/>
      <c r="BN146" s="1090"/>
      <c r="BO146" s="1090"/>
    </row>
    <row r="147" spans="1:99">
      <c r="A147" s="1353"/>
      <c r="B147" s="809" t="s">
        <v>117</v>
      </c>
      <c r="C147" s="821">
        <f t="shared" ref="C147:N147" si="217">C114/C$116</f>
        <v>2.0603682114618802E-2</v>
      </c>
      <c r="D147" s="821">
        <f t="shared" si="217"/>
        <v>2.3017775114839226E-2</v>
      </c>
      <c r="E147" s="821">
        <f t="shared" si="217"/>
        <v>2.3576264436479491E-2</v>
      </c>
      <c r="F147" s="821">
        <f t="shared" si="217"/>
        <v>2.2313657224244342E-2</v>
      </c>
      <c r="G147" s="821">
        <f t="shared" si="217"/>
        <v>2.002836740682774E-2</v>
      </c>
      <c r="H147" s="821">
        <f t="shared" si="217"/>
        <v>2.110385579859473E-2</v>
      </c>
      <c r="I147" s="821">
        <f t="shared" si="217"/>
        <v>2.0449200777069628E-2</v>
      </c>
      <c r="J147" s="821">
        <f t="shared" si="217"/>
        <v>2.0573225920338927E-2</v>
      </c>
      <c r="K147" s="821">
        <f t="shared" si="217"/>
        <v>1.9241123296211284E-2</v>
      </c>
      <c r="L147" s="821">
        <f t="shared" si="217"/>
        <v>1.8887437404746354E-2</v>
      </c>
      <c r="M147" s="821">
        <f t="shared" si="217"/>
        <v>1.8845792930872692E-2</v>
      </c>
      <c r="N147" s="821">
        <f t="shared" si="217"/>
        <v>1.7890863312835906E-2</v>
      </c>
      <c r="O147" s="821">
        <f t="shared" si="204"/>
        <v>1.8477913297702254E-2</v>
      </c>
      <c r="P147" s="821">
        <f t="shared" si="204"/>
        <v>1.8633386264390633E-2</v>
      </c>
      <c r="AA147" s="9"/>
      <c r="AB147" s="1094"/>
      <c r="AC147" s="499"/>
      <c r="AD147" s="499"/>
      <c r="AE147" s="499"/>
      <c r="AF147" s="499"/>
      <c r="AG147" s="499"/>
      <c r="AH147" s="499"/>
      <c r="AI147" s="499"/>
      <c r="AJ147" s="499"/>
      <c r="AK147" s="499"/>
      <c r="AL147" s="499"/>
      <c r="AM147" s="499"/>
      <c r="AN147" s="830"/>
      <c r="AO147" s="499"/>
      <c r="AP147" s="499"/>
      <c r="AQ147" s="499"/>
      <c r="AR147" s="499"/>
      <c r="AS147" s="499"/>
      <c r="AT147" s="499"/>
      <c r="AU147" s="499"/>
      <c r="AV147" s="499"/>
      <c r="AW147" s="499"/>
      <c r="AX147" s="499"/>
      <c r="AY147" s="499"/>
      <c r="AZ147" s="499"/>
      <c r="BA147" s="499"/>
      <c r="BB147" s="830"/>
      <c r="BC147" s="499"/>
      <c r="BD147" s="499"/>
      <c r="BE147" s="499"/>
      <c r="BF147" s="499"/>
      <c r="BG147" s="499"/>
      <c r="BH147" s="499"/>
      <c r="BI147" s="499"/>
      <c r="BJ147" s="499"/>
      <c r="BK147" s="499"/>
      <c r="BL147" s="499"/>
      <c r="BM147" s="499"/>
      <c r="BN147" s="499"/>
      <c r="BO147" s="499"/>
    </row>
    <row r="148" spans="1:99">
      <c r="A148" s="1353"/>
      <c r="B148" s="809" t="s">
        <v>118</v>
      </c>
      <c r="C148" s="821">
        <f t="shared" ref="C148:N148" si="218">C115/C$116</f>
        <v>6.3484734806948696E-3</v>
      </c>
      <c r="D148" s="821">
        <f t="shared" si="218"/>
        <v>6.7405632115038949E-3</v>
      </c>
      <c r="E148" s="821">
        <f t="shared" si="218"/>
        <v>7.7658303464755076E-3</v>
      </c>
      <c r="F148" s="821">
        <f t="shared" si="218"/>
        <v>7.4378857414147811E-3</v>
      </c>
      <c r="G148" s="821">
        <f t="shared" si="218"/>
        <v>6.8228504352929667E-3</v>
      </c>
      <c r="H148" s="821">
        <f t="shared" si="218"/>
        <v>6.9270303150681528E-3</v>
      </c>
      <c r="I148" s="821">
        <f t="shared" si="218"/>
        <v>7.6343682901059947E-3</v>
      </c>
      <c r="J148" s="821">
        <f t="shared" si="218"/>
        <v>7.1893956414288921E-3</v>
      </c>
      <c r="K148" s="821">
        <f t="shared" si="218"/>
        <v>7.0843605656153476E-3</v>
      </c>
      <c r="L148" s="821">
        <f t="shared" si="218"/>
        <v>6.3956020030481167E-3</v>
      </c>
      <c r="M148" s="821">
        <f t="shared" si="218"/>
        <v>6.2297987696799083E-3</v>
      </c>
      <c r="N148" s="821">
        <f t="shared" si="218"/>
        <v>6.1976468309688669E-3</v>
      </c>
      <c r="O148" s="821">
        <f t="shared" si="204"/>
        <v>6.3724818418528159E-3</v>
      </c>
      <c r="P148" s="821">
        <f t="shared" si="204"/>
        <v>6.4757840412862245E-3</v>
      </c>
      <c r="AA148" s="9"/>
      <c r="AB148" s="1094"/>
      <c r="AC148" s="499"/>
      <c r="AD148" s="499"/>
      <c r="AE148" s="499"/>
      <c r="AF148" s="499"/>
      <c r="AG148" s="499"/>
      <c r="AH148" s="499"/>
      <c r="AI148" s="499"/>
      <c r="AJ148" s="499"/>
      <c r="AK148" s="499"/>
      <c r="AL148" s="499"/>
      <c r="AM148" s="499"/>
      <c r="AN148" s="830"/>
      <c r="AO148" s="499"/>
      <c r="AP148" s="499"/>
      <c r="AQ148" s="499"/>
      <c r="AR148" s="499"/>
      <c r="AS148" s="499"/>
      <c r="AT148" s="499"/>
      <c r="AU148" s="499"/>
      <c r="AV148" s="499"/>
      <c r="AW148" s="499"/>
      <c r="AX148" s="499"/>
      <c r="AY148" s="499"/>
      <c r="AZ148" s="499"/>
      <c r="BA148" s="499"/>
      <c r="BB148" s="830"/>
      <c r="BC148" s="499"/>
      <c r="BD148" s="499"/>
      <c r="BE148" s="499"/>
      <c r="BF148" s="499"/>
      <c r="BG148" s="499"/>
      <c r="BH148" s="499"/>
      <c r="BI148" s="499"/>
      <c r="BJ148" s="499"/>
      <c r="BK148" s="499"/>
      <c r="BL148" s="499"/>
      <c r="BM148" s="499"/>
      <c r="BN148" s="499"/>
      <c r="BO148" s="499"/>
    </row>
    <row r="149" spans="1:99">
      <c r="A149" s="1354"/>
      <c r="B149" s="807" t="s">
        <v>52</v>
      </c>
      <c r="C149" s="819">
        <f t="shared" ref="C149:N149" si="219">SUM(C144:C148)</f>
        <v>1</v>
      </c>
      <c r="D149" s="819">
        <f t="shared" si="219"/>
        <v>1</v>
      </c>
      <c r="E149" s="819">
        <f t="shared" si="219"/>
        <v>1.0000000000000002</v>
      </c>
      <c r="F149" s="819">
        <f t="shared" si="219"/>
        <v>1</v>
      </c>
      <c r="G149" s="819">
        <f t="shared" si="219"/>
        <v>1</v>
      </c>
      <c r="H149" s="819">
        <f t="shared" si="219"/>
        <v>1.0000000000000002</v>
      </c>
      <c r="I149" s="819">
        <f t="shared" si="219"/>
        <v>0.99999999999999989</v>
      </c>
      <c r="J149" s="819">
        <f t="shared" si="219"/>
        <v>1</v>
      </c>
      <c r="K149" s="819">
        <f t="shared" si="219"/>
        <v>1</v>
      </c>
      <c r="L149" s="819">
        <f t="shared" si="219"/>
        <v>1</v>
      </c>
      <c r="M149" s="819">
        <f t="shared" si="219"/>
        <v>1</v>
      </c>
      <c r="N149" s="819">
        <f t="shared" si="219"/>
        <v>1</v>
      </c>
      <c r="O149" s="819">
        <f>SUM(O144:O148)</f>
        <v>0.99999999999999989</v>
      </c>
      <c r="P149" s="819">
        <f>SUM(P144:P148)</f>
        <v>1</v>
      </c>
      <c r="AA149" s="9"/>
      <c r="AB149" s="1094"/>
      <c r="AC149" s="499"/>
      <c r="AD149" s="499"/>
      <c r="AE149" s="499"/>
      <c r="AF149" s="499"/>
      <c r="AG149" s="499"/>
      <c r="AH149" s="499"/>
      <c r="AI149" s="499"/>
      <c r="AJ149" s="499"/>
      <c r="AK149" s="499"/>
      <c r="AL149" s="499"/>
      <c r="AM149" s="499"/>
      <c r="AN149" s="830"/>
      <c r="AO149" s="499"/>
      <c r="AP149" s="499"/>
      <c r="AQ149" s="499"/>
      <c r="AR149" s="499"/>
      <c r="AS149" s="499"/>
      <c r="AT149" s="499"/>
      <c r="AU149" s="499"/>
      <c r="AV149" s="499"/>
      <c r="AW149" s="499"/>
      <c r="AX149" s="499"/>
      <c r="AY149" s="499"/>
      <c r="AZ149" s="499"/>
      <c r="BA149" s="499"/>
      <c r="BB149" s="830"/>
      <c r="BC149" s="499"/>
      <c r="BD149" s="499"/>
      <c r="BE149" s="499"/>
      <c r="BF149" s="499"/>
      <c r="BG149" s="499"/>
      <c r="BH149" s="499"/>
      <c r="BI149" s="499"/>
      <c r="BJ149" s="499"/>
      <c r="BK149" s="499"/>
      <c r="BL149" s="499"/>
      <c r="BM149" s="499"/>
      <c r="BN149" s="499"/>
      <c r="BO149" s="499"/>
    </row>
    <row r="150" spans="1:99">
      <c r="A150" s="1352" t="s">
        <v>43</v>
      </c>
      <c r="B150" s="806">
        <v>1</v>
      </c>
      <c r="C150" s="823"/>
      <c r="D150" s="816">
        <f t="shared" ref="D150:M154" si="220">D117/D$122</f>
        <v>0.69619014732965012</v>
      </c>
      <c r="E150" s="816">
        <f t="shared" si="220"/>
        <v>0.67709411711752265</v>
      </c>
      <c r="F150" s="816">
        <f t="shared" si="220"/>
        <v>0.65804566008602627</v>
      </c>
      <c r="G150" s="816">
        <f t="shared" si="220"/>
        <v>0.65741094321095417</v>
      </c>
      <c r="H150" s="816">
        <f t="shared" si="220"/>
        <v>0.647000303510606</v>
      </c>
      <c r="I150" s="816">
        <f t="shared" si="220"/>
        <v>0.61449978766001334</v>
      </c>
      <c r="J150" s="816">
        <f t="shared" si="220"/>
        <v>0.60868050641730442</v>
      </c>
      <c r="K150" s="816">
        <f t="shared" si="220"/>
        <v>0.6214984812689841</v>
      </c>
      <c r="L150" s="816">
        <f t="shared" si="220"/>
        <v>0.61848319845973343</v>
      </c>
      <c r="M150" s="816">
        <f t="shared" si="220"/>
        <v>0.62971448897816562</v>
      </c>
      <c r="N150" s="816">
        <f>N117/N$122</f>
        <v>0.61092314217049148</v>
      </c>
      <c r="O150" s="1128"/>
      <c r="P150" s="816">
        <f>P117/P$122</f>
        <v>0.60219792309714015</v>
      </c>
      <c r="AA150" s="9"/>
      <c r="AB150" s="1118"/>
      <c r="AC150" s="830"/>
      <c r="AD150" s="830"/>
      <c r="AE150" s="830"/>
      <c r="AF150" s="830"/>
      <c r="AG150" s="830"/>
      <c r="AH150" s="830"/>
      <c r="AI150" s="830"/>
      <c r="AJ150" s="830"/>
      <c r="AK150" s="830"/>
      <c r="AL150" s="830"/>
      <c r="AM150" s="830"/>
      <c r="AN150" s="830"/>
      <c r="AO150" s="830"/>
      <c r="AP150" s="830"/>
      <c r="AQ150" s="830"/>
      <c r="AR150" s="830"/>
      <c r="AS150" s="830"/>
      <c r="AT150" s="830"/>
      <c r="AU150" s="830"/>
      <c r="AV150" s="830"/>
      <c r="AW150" s="830"/>
      <c r="AX150" s="830"/>
      <c r="AY150" s="830"/>
      <c r="AZ150" s="830"/>
      <c r="BA150" s="830"/>
      <c r="BB150" s="830"/>
      <c r="BC150" s="830"/>
      <c r="BD150" s="830"/>
      <c r="BE150" s="830"/>
      <c r="BF150" s="830"/>
      <c r="BG150" s="830"/>
      <c r="BH150" s="830"/>
      <c r="BI150" s="830"/>
      <c r="BJ150" s="830"/>
      <c r="BK150" s="830"/>
      <c r="BL150" s="830"/>
      <c r="BM150" s="830"/>
      <c r="BN150" s="830"/>
      <c r="BO150" s="830"/>
    </row>
    <row r="151" spans="1:99">
      <c r="A151" s="1353"/>
      <c r="B151" s="809" t="s">
        <v>115</v>
      </c>
      <c r="C151" s="825"/>
      <c r="D151" s="821">
        <f t="shared" si="220"/>
        <v>0.23181399631675875</v>
      </c>
      <c r="E151" s="821">
        <f t="shared" si="220"/>
        <v>0.24850339829860016</v>
      </c>
      <c r="F151" s="821">
        <f t="shared" si="220"/>
        <v>0.26304179993382598</v>
      </c>
      <c r="G151" s="821">
        <f t="shared" si="220"/>
        <v>0.26370628989144074</v>
      </c>
      <c r="H151" s="821">
        <f t="shared" si="220"/>
        <v>0.27039422655380568</v>
      </c>
      <c r="I151" s="821">
        <f t="shared" si="220"/>
        <v>0.29248316447248679</v>
      </c>
      <c r="J151" s="821">
        <f t="shared" si="220"/>
        <v>0.29567498720893526</v>
      </c>
      <c r="K151" s="821">
        <f t="shared" si="220"/>
        <v>0.28810538305771177</v>
      </c>
      <c r="L151" s="821">
        <f t="shared" si="220"/>
        <v>0.29068519799845571</v>
      </c>
      <c r="M151" s="821">
        <f t="shared" si="220"/>
        <v>0.27968362574934874</v>
      </c>
      <c r="N151" s="821">
        <f>N118/N$122</f>
        <v>0.28990151265256114</v>
      </c>
      <c r="O151" s="1129"/>
      <c r="P151" s="821">
        <f t="shared" ref="P151" si="221">P118/P$122</f>
        <v>0.30554553844837384</v>
      </c>
      <c r="AA151" s="9"/>
      <c r="AB151" s="1117"/>
      <c r="AC151" s="790"/>
      <c r="AD151" s="790"/>
      <c r="AE151" s="790"/>
      <c r="AF151" s="790"/>
      <c r="AG151" s="790"/>
      <c r="AH151" s="790"/>
      <c r="AI151" s="790"/>
      <c r="AJ151" s="790"/>
      <c r="AK151" s="790"/>
      <c r="AL151" s="790"/>
      <c r="AM151" s="790"/>
      <c r="AN151" s="830"/>
      <c r="AO151" s="790"/>
      <c r="AP151" s="790"/>
      <c r="AQ151" s="790"/>
      <c r="AR151" s="790"/>
      <c r="AS151" s="790"/>
      <c r="AT151" s="790"/>
      <c r="AU151" s="790"/>
      <c r="AV151" s="790"/>
      <c r="AW151" s="790"/>
      <c r="AX151" s="790"/>
      <c r="AY151" s="790"/>
      <c r="AZ151" s="790"/>
      <c r="BA151" s="790"/>
      <c r="BB151" s="830"/>
      <c r="BC151" s="790"/>
      <c r="BD151" s="790"/>
      <c r="BE151" s="790"/>
      <c r="BF151" s="790"/>
      <c r="BG151" s="790"/>
      <c r="BH151" s="790"/>
      <c r="BI151" s="790"/>
      <c r="BJ151" s="790"/>
      <c r="BK151" s="790"/>
      <c r="BL151" s="790"/>
      <c r="BM151" s="790"/>
      <c r="BN151" s="790"/>
      <c r="BO151" s="790"/>
    </row>
    <row r="152" spans="1:99">
      <c r="A152" s="1353"/>
      <c r="B152" s="809" t="s">
        <v>116</v>
      </c>
      <c r="C152" s="825"/>
      <c r="D152" s="821">
        <f t="shared" si="220"/>
        <v>3.3005294659300181E-2</v>
      </c>
      <c r="E152" s="821">
        <f t="shared" si="220"/>
        <v>3.4770671107710309E-2</v>
      </c>
      <c r="F152" s="821">
        <f t="shared" si="220"/>
        <v>3.7020697768464395E-2</v>
      </c>
      <c r="G152" s="821">
        <f t="shared" si="220"/>
        <v>3.7677522593784665E-2</v>
      </c>
      <c r="H152" s="821">
        <f t="shared" si="220"/>
        <v>4.0080261693589178E-2</v>
      </c>
      <c r="I152" s="821">
        <f t="shared" si="220"/>
        <v>4.6629861068980163E-2</v>
      </c>
      <c r="J152" s="821">
        <f t="shared" si="220"/>
        <v>4.7702507048693131E-2</v>
      </c>
      <c r="K152" s="821">
        <f t="shared" si="220"/>
        <v>4.5361542355720555E-2</v>
      </c>
      <c r="L152" s="821">
        <f t="shared" si="220"/>
        <v>4.6839746096687826E-2</v>
      </c>
      <c r="M152" s="821">
        <f t="shared" si="220"/>
        <v>4.4777837063076073E-2</v>
      </c>
      <c r="N152" s="821">
        <f>N119/N$122</f>
        <v>5.0289807266387071E-2</v>
      </c>
      <c r="O152" s="1129"/>
      <c r="P152" s="821">
        <f t="shared" ref="P152" si="222">P119/P$122</f>
        <v>4.5309243379031715E-2</v>
      </c>
      <c r="AA152" s="391"/>
      <c r="AB152" s="1094"/>
      <c r="AC152" s="499"/>
      <c r="AD152" s="499"/>
      <c r="AE152" s="499"/>
      <c r="AF152" s="499"/>
      <c r="AG152" s="499"/>
      <c r="AH152" s="499"/>
      <c r="AI152" s="499"/>
      <c r="AJ152" s="499"/>
      <c r="AK152" s="499"/>
      <c r="AL152" s="499"/>
      <c r="AM152" s="499"/>
      <c r="AN152" s="805"/>
      <c r="AO152" s="499"/>
      <c r="AP152" s="499"/>
      <c r="AQ152" s="499"/>
      <c r="AR152" s="499"/>
      <c r="AS152" s="499"/>
      <c r="AT152" s="499"/>
      <c r="AU152" s="499"/>
      <c r="AV152" s="499"/>
      <c r="AW152" s="499"/>
      <c r="AX152" s="499"/>
      <c r="AY152" s="499"/>
      <c r="AZ152" s="499"/>
      <c r="BA152" s="499"/>
      <c r="BB152" s="805"/>
      <c r="BC152" s="499"/>
      <c r="BD152" s="499"/>
      <c r="BE152" s="499"/>
      <c r="BF152" s="499"/>
      <c r="BG152" s="499"/>
      <c r="BH152" s="499"/>
      <c r="BI152" s="499"/>
      <c r="BJ152" s="499"/>
      <c r="BK152" s="499"/>
      <c r="BL152" s="499"/>
      <c r="BM152" s="499"/>
      <c r="BN152" s="499"/>
      <c r="BO152" s="499"/>
    </row>
    <row r="153" spans="1:99">
      <c r="A153" s="1353"/>
      <c r="B153" s="809" t="s">
        <v>117</v>
      </c>
      <c r="C153" s="825"/>
      <c r="D153" s="821">
        <f t="shared" si="220"/>
        <v>3.0616942909760591E-2</v>
      </c>
      <c r="E153" s="821">
        <f t="shared" si="220"/>
        <v>3.0359634514110816E-2</v>
      </c>
      <c r="F153" s="821">
        <f t="shared" si="220"/>
        <v>3.2572331899562518E-2</v>
      </c>
      <c r="G153" s="821">
        <f t="shared" si="220"/>
        <v>3.2531413088938595E-2</v>
      </c>
      <c r="H153" s="821">
        <f t="shared" si="220"/>
        <v>3.3537921964050858E-2</v>
      </c>
      <c r="I153" s="821">
        <f t="shared" si="220"/>
        <v>3.6886489109992114E-2</v>
      </c>
      <c r="J153" s="821">
        <f t="shared" si="220"/>
        <v>3.8242562131916701E-2</v>
      </c>
      <c r="K153" s="821">
        <f t="shared" si="220"/>
        <v>3.4973000337495778E-2</v>
      </c>
      <c r="L153" s="821">
        <f t="shared" si="220"/>
        <v>3.4555719342578943E-2</v>
      </c>
      <c r="M153" s="821">
        <f t="shared" si="220"/>
        <v>3.4880679618760659E-2</v>
      </c>
      <c r="N153" s="821">
        <f>N120/N$122</f>
        <v>3.7792752462183686E-2</v>
      </c>
      <c r="O153" s="1129"/>
      <c r="P153" s="821">
        <f t="shared" ref="P153" si="223">P120/P$122</f>
        <v>3.6605565708487921E-2</v>
      </c>
      <c r="AA153" s="391"/>
      <c r="AN153" s="391"/>
      <c r="BB153" s="391"/>
    </row>
    <row r="154" spans="1:99">
      <c r="A154" s="1353"/>
      <c r="B154" s="809" t="s">
        <v>118</v>
      </c>
      <c r="C154" s="825"/>
      <c r="D154" s="821">
        <f t="shared" si="220"/>
        <v>8.3736187845303862E-3</v>
      </c>
      <c r="E154" s="821">
        <f t="shared" si="220"/>
        <v>9.2721789620560831E-3</v>
      </c>
      <c r="F154" s="821">
        <f t="shared" si="220"/>
        <v>9.3195103121208774E-3</v>
      </c>
      <c r="G154" s="821">
        <f t="shared" si="220"/>
        <v>8.6738312148818934E-3</v>
      </c>
      <c r="H154" s="821">
        <f t="shared" si="220"/>
        <v>8.9872862779482691E-3</v>
      </c>
      <c r="I154" s="821">
        <f t="shared" si="220"/>
        <v>9.5006976885275742E-3</v>
      </c>
      <c r="J154" s="821">
        <f t="shared" si="220"/>
        <v>9.6994371931505216E-3</v>
      </c>
      <c r="K154" s="821">
        <f t="shared" si="220"/>
        <v>1.0061592980087748E-2</v>
      </c>
      <c r="L154" s="821">
        <f t="shared" si="220"/>
        <v>9.4361381025440463E-3</v>
      </c>
      <c r="M154" s="821">
        <f t="shared" si="220"/>
        <v>1.0943368590648964E-2</v>
      </c>
      <c r="N154" s="821">
        <f>N121/N$122</f>
        <v>1.1092785448376608E-2</v>
      </c>
      <c r="O154" s="1129"/>
      <c r="P154" s="821">
        <f t="shared" ref="P154" si="224">P121/P$122</f>
        <v>1.0341729366966364E-2</v>
      </c>
      <c r="AA154" s="391"/>
      <c r="AN154" s="391"/>
      <c r="BB154" s="391"/>
    </row>
    <row r="155" spans="1:99">
      <c r="A155" s="1354"/>
      <c r="B155" s="807" t="s">
        <v>52</v>
      </c>
      <c r="C155" s="824"/>
      <c r="D155" s="819">
        <f t="shared" ref="D155:M155" si="225">SUM(D150:D154)</f>
        <v>0.99999999999999989</v>
      </c>
      <c r="E155" s="819">
        <f t="shared" si="225"/>
        <v>1</v>
      </c>
      <c r="F155" s="819">
        <f t="shared" si="225"/>
        <v>1</v>
      </c>
      <c r="G155" s="819">
        <f t="shared" si="225"/>
        <v>1</v>
      </c>
      <c r="H155" s="819">
        <f t="shared" si="225"/>
        <v>1</v>
      </c>
      <c r="I155" s="819">
        <f t="shared" si="225"/>
        <v>1</v>
      </c>
      <c r="J155" s="819">
        <f t="shared" si="225"/>
        <v>1</v>
      </c>
      <c r="K155" s="819">
        <f t="shared" si="225"/>
        <v>1</v>
      </c>
      <c r="L155" s="819">
        <f t="shared" si="225"/>
        <v>1</v>
      </c>
      <c r="M155" s="819">
        <f t="shared" si="225"/>
        <v>0.99999999999999989</v>
      </c>
      <c r="N155" s="819">
        <f>SUM(N150:N154)</f>
        <v>1</v>
      </c>
      <c r="O155" s="1130"/>
      <c r="P155" s="819">
        <f>SUM(P150:P154)</f>
        <v>1</v>
      </c>
      <c r="AA155" s="391"/>
      <c r="AN155" s="391"/>
      <c r="BB155" s="391"/>
    </row>
    <row r="156" spans="1:99">
      <c r="A156" s="1352" t="s">
        <v>44</v>
      </c>
      <c r="B156" s="806">
        <v>1</v>
      </c>
      <c r="C156" s="816">
        <f t="shared" ref="C156:N156" si="226">C123/C$128</f>
        <v>0.61978176407373731</v>
      </c>
      <c r="D156" s="816">
        <f t="shared" si="226"/>
        <v>0.6018550092068472</v>
      </c>
      <c r="E156" s="816">
        <f t="shared" si="226"/>
        <v>0.6993003805747362</v>
      </c>
      <c r="F156" s="816">
        <f t="shared" si="226"/>
        <v>0.69455011577902748</v>
      </c>
      <c r="G156" s="816">
        <f t="shared" si="226"/>
        <v>0.69261010768617171</v>
      </c>
      <c r="H156" s="816">
        <f t="shared" si="226"/>
        <v>0.69143736422881974</v>
      </c>
      <c r="I156" s="816">
        <f t="shared" si="226"/>
        <v>0.69036939795062535</v>
      </c>
      <c r="J156" s="816">
        <f t="shared" si="226"/>
        <v>0.68987296217655736</v>
      </c>
      <c r="K156" s="816">
        <f t="shared" si="226"/>
        <v>0.68197444712401867</v>
      </c>
      <c r="L156" s="816">
        <f t="shared" si="226"/>
        <v>0.6916461074561403</v>
      </c>
      <c r="M156" s="816">
        <f t="shared" si="226"/>
        <v>0.68649255567860223</v>
      </c>
      <c r="N156" s="816">
        <f t="shared" si="226"/>
        <v>0.69160736233555375</v>
      </c>
      <c r="O156" s="816">
        <f t="shared" ref="O156:P160" si="227">O123/O$128</f>
        <v>0.69316553965588945</v>
      </c>
      <c r="P156" s="816">
        <f t="shared" si="227"/>
        <v>0.70133485947626484</v>
      </c>
      <c r="AA156" s="391"/>
      <c r="AN156" s="391"/>
      <c r="BB156" s="391"/>
    </row>
    <row r="157" spans="1:99">
      <c r="A157" s="1353"/>
      <c r="B157" s="809" t="s">
        <v>115</v>
      </c>
      <c r="C157" s="821">
        <f t="shared" ref="C157:N157" si="228">C124/C$128</f>
        <v>0.26655369099776804</v>
      </c>
      <c r="D157" s="821">
        <f t="shared" si="228"/>
        <v>0.2789674691400123</v>
      </c>
      <c r="E157" s="821">
        <f t="shared" si="228"/>
        <v>0.2168820218317723</v>
      </c>
      <c r="F157" s="821">
        <f t="shared" si="228"/>
        <v>0.22109659278862057</v>
      </c>
      <c r="G157" s="821">
        <f t="shared" si="228"/>
        <v>0.2232541355668243</v>
      </c>
      <c r="H157" s="821">
        <f t="shared" si="228"/>
        <v>0.22315351194786387</v>
      </c>
      <c r="I157" s="821">
        <f t="shared" si="228"/>
        <v>0.22149290741348504</v>
      </c>
      <c r="J157" s="821">
        <f t="shared" si="228"/>
        <v>0.22285601180408104</v>
      </c>
      <c r="K157" s="821">
        <f t="shared" si="228"/>
        <v>0.22951408486838729</v>
      </c>
      <c r="L157" s="821">
        <f t="shared" si="228"/>
        <v>0.22214226973684212</v>
      </c>
      <c r="M157" s="821">
        <f t="shared" si="228"/>
        <v>0.22615971453180755</v>
      </c>
      <c r="N157" s="821">
        <f t="shared" si="228"/>
        <v>0.22146184543950959</v>
      </c>
      <c r="O157" s="821">
        <f t="shared" si="227"/>
        <v>0.22444201414026277</v>
      </c>
      <c r="P157" s="821">
        <f t="shared" si="227"/>
        <v>0.21592860125906793</v>
      </c>
      <c r="AA157" s="391"/>
      <c r="AN157" s="391"/>
      <c r="BB157" s="391"/>
    </row>
    <row r="158" spans="1:99">
      <c r="A158" s="1353"/>
      <c r="B158" s="809" t="s">
        <v>116</v>
      </c>
      <c r="C158" s="821">
        <f t="shared" ref="C158:N158" si="229">C125/C$128</f>
        <v>4.8855088038356614E-2</v>
      </c>
      <c r="D158" s="821">
        <f t="shared" si="229"/>
        <v>5.0126167905612765E-2</v>
      </c>
      <c r="E158" s="821">
        <f t="shared" si="229"/>
        <v>3.6211572206649806E-2</v>
      </c>
      <c r="F158" s="821">
        <f t="shared" si="229"/>
        <v>3.6635792259345018E-2</v>
      </c>
      <c r="G158" s="821">
        <f t="shared" si="229"/>
        <v>3.6674073652023624E-2</v>
      </c>
      <c r="H158" s="821">
        <f t="shared" si="229"/>
        <v>3.6133236784938454E-2</v>
      </c>
      <c r="I158" s="821">
        <f t="shared" si="229"/>
        <v>3.8963643656784452E-2</v>
      </c>
      <c r="J158" s="821">
        <f t="shared" si="229"/>
        <v>3.7715478461150899E-2</v>
      </c>
      <c r="K158" s="821">
        <f t="shared" si="229"/>
        <v>3.8637179947662782E-2</v>
      </c>
      <c r="L158" s="821">
        <f t="shared" si="229"/>
        <v>3.7212171052631582E-2</v>
      </c>
      <c r="M158" s="821">
        <f t="shared" si="229"/>
        <v>3.7729174357081334E-2</v>
      </c>
      <c r="N158" s="821">
        <f t="shared" si="229"/>
        <v>3.8511145167898275E-2</v>
      </c>
      <c r="O158" s="821">
        <f t="shared" si="227"/>
        <v>3.578195037045024E-2</v>
      </c>
      <c r="P158" s="821">
        <f t="shared" si="227"/>
        <v>3.6194335741133163E-2</v>
      </c>
    </row>
    <row r="159" spans="1:99">
      <c r="A159" s="1353"/>
      <c r="B159" s="809" t="s">
        <v>117</v>
      </c>
      <c r="C159" s="821">
        <f t="shared" ref="C159:N159" si="230">C126/C$128</f>
        <v>4.9185748532694057E-2</v>
      </c>
      <c r="D159" s="821">
        <f t="shared" si="230"/>
        <v>5.2069835640728361E-2</v>
      </c>
      <c r="E159" s="821">
        <f t="shared" si="230"/>
        <v>3.6097627674847886E-2</v>
      </c>
      <c r="F159" s="821">
        <f t="shared" si="230"/>
        <v>3.5643400595434999E-2</v>
      </c>
      <c r="G159" s="821">
        <f t="shared" si="230"/>
        <v>3.5420583822384291E-2</v>
      </c>
      <c r="H159" s="821">
        <f t="shared" si="230"/>
        <v>3.6784938450398263E-2</v>
      </c>
      <c r="I159" s="821">
        <f t="shared" si="230"/>
        <v>3.662983626882544E-2</v>
      </c>
      <c r="J159" s="821">
        <f t="shared" si="230"/>
        <v>3.7121675603699569E-2</v>
      </c>
      <c r="K159" s="821">
        <f t="shared" si="230"/>
        <v>3.7046539073323413E-2</v>
      </c>
      <c r="L159" s="821">
        <f t="shared" si="230"/>
        <v>3.6766721491228067E-2</v>
      </c>
      <c r="M159" s="821">
        <f t="shared" si="230"/>
        <v>3.7006275378368404E-2</v>
      </c>
      <c r="N159" s="821">
        <f t="shared" si="230"/>
        <v>3.6386810919078041E-2</v>
      </c>
      <c r="O159" s="821">
        <f t="shared" si="227"/>
        <v>3.5227430261394618E-2</v>
      </c>
      <c r="P159" s="821">
        <f t="shared" si="227"/>
        <v>3.5204405190948321E-2</v>
      </c>
    </row>
    <row r="160" spans="1:99">
      <c r="A160" s="1353"/>
      <c r="B160" s="809" t="s">
        <v>118</v>
      </c>
      <c r="C160" s="821">
        <f t="shared" ref="C160:N160" si="231">C127/C$128</f>
        <v>1.5623708357443995E-2</v>
      </c>
      <c r="D160" s="821">
        <f t="shared" si="231"/>
        <v>1.6981518106799428E-2</v>
      </c>
      <c r="E160" s="821">
        <f t="shared" si="231"/>
        <v>1.1508397711993801E-2</v>
      </c>
      <c r="F160" s="821">
        <f t="shared" si="231"/>
        <v>1.2074098577571949E-2</v>
      </c>
      <c r="G160" s="821">
        <f t="shared" si="231"/>
        <v>1.2041099272596053E-2</v>
      </c>
      <c r="H160" s="821">
        <f t="shared" si="231"/>
        <v>1.2490948587979726E-2</v>
      </c>
      <c r="I160" s="821">
        <f t="shared" si="231"/>
        <v>1.2544214710279692E-2</v>
      </c>
      <c r="J160" s="821">
        <f t="shared" si="231"/>
        <v>1.2433871954511103E-2</v>
      </c>
      <c r="K160" s="821">
        <f t="shared" si="231"/>
        <v>1.282774898660783E-2</v>
      </c>
      <c r="L160" s="821">
        <f t="shared" si="231"/>
        <v>1.2232730263157895E-2</v>
      </c>
      <c r="M160" s="821">
        <f t="shared" si="231"/>
        <v>1.2612280054140518E-2</v>
      </c>
      <c r="N160" s="821">
        <f t="shared" si="231"/>
        <v>1.2032836137960336E-2</v>
      </c>
      <c r="O160" s="821">
        <f t="shared" si="227"/>
        <v>1.1383065572002896E-2</v>
      </c>
      <c r="P160" s="821">
        <f t="shared" si="227"/>
        <v>1.1337798332585729E-2</v>
      </c>
    </row>
    <row r="161" spans="1:16">
      <c r="A161" s="1354"/>
      <c r="B161" s="807" t="s">
        <v>52</v>
      </c>
      <c r="C161" s="819">
        <f t="shared" ref="C161:N161" si="232">SUM(C156:C160)</f>
        <v>1</v>
      </c>
      <c r="D161" s="819">
        <f t="shared" si="232"/>
        <v>0.99999999999999989</v>
      </c>
      <c r="E161" s="819">
        <f t="shared" si="232"/>
        <v>1</v>
      </c>
      <c r="F161" s="819">
        <f t="shared" si="232"/>
        <v>1</v>
      </c>
      <c r="G161" s="819">
        <f t="shared" si="232"/>
        <v>0.99999999999999989</v>
      </c>
      <c r="H161" s="819">
        <f t="shared" si="232"/>
        <v>1.0000000000000002</v>
      </c>
      <c r="I161" s="819">
        <f t="shared" si="232"/>
        <v>0.99999999999999989</v>
      </c>
      <c r="J161" s="819">
        <f t="shared" si="232"/>
        <v>0.99999999999999989</v>
      </c>
      <c r="K161" s="819">
        <f t="shared" si="232"/>
        <v>1</v>
      </c>
      <c r="L161" s="819">
        <f t="shared" si="232"/>
        <v>1</v>
      </c>
      <c r="M161" s="819">
        <f t="shared" si="232"/>
        <v>1.0000000000000002</v>
      </c>
      <c r="N161" s="819">
        <f t="shared" si="232"/>
        <v>1</v>
      </c>
      <c r="O161" s="819">
        <f>SUM(O156:O160)</f>
        <v>1</v>
      </c>
      <c r="P161" s="819">
        <f>SUM(P156:P160)</f>
        <v>1</v>
      </c>
    </row>
  </sheetData>
  <mergeCells count="15">
    <mergeCell ref="A132:A137"/>
    <mergeCell ref="A138:A143"/>
    <mergeCell ref="A144:A149"/>
    <mergeCell ref="A150:A155"/>
    <mergeCell ref="A156:A161"/>
    <mergeCell ref="A99:A104"/>
    <mergeCell ref="A105:A110"/>
    <mergeCell ref="A111:A116"/>
    <mergeCell ref="A117:A122"/>
    <mergeCell ref="A123:A128"/>
    <mergeCell ref="A7:A13"/>
    <mergeCell ref="A14:A20"/>
    <mergeCell ref="A21:A27"/>
    <mergeCell ref="A28:A34"/>
    <mergeCell ref="A35:A41"/>
  </mergeCells>
  <hyperlinks>
    <hyperlink ref="AB1" location="Content!A1" display="ToC" xr:uid="{002AE623-55CB-4D3C-BC41-68228D1F1F5C}"/>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2B3E-7FE3-489B-A846-DE01210A3C8C}">
  <dimension ref="A1:AZ66"/>
  <sheetViews>
    <sheetView zoomScale="80" zoomScaleNormal="80" workbookViewId="0">
      <pane xSplit="2" ySplit="7" topLeftCell="C8" activePane="bottomRight" state="frozenSplit"/>
      <selection activeCell="H56" sqref="H56:H57"/>
      <selection pane="topRight" activeCell="H56" sqref="H56:H57"/>
      <selection pane="bottomLeft" activeCell="H56" sqref="H56:H57"/>
      <selection pane="bottomRight" activeCell="K16" sqref="K16"/>
    </sheetView>
  </sheetViews>
  <sheetFormatPr defaultRowHeight="15"/>
  <cols>
    <col min="2" max="2" width="24.85546875" customWidth="1"/>
    <col min="3" max="8" width="9.7109375" customWidth="1"/>
    <col min="9" max="9" width="9.7109375" style="1086" customWidth="1"/>
  </cols>
  <sheetData>
    <row r="1" spans="1:10" ht="21">
      <c r="A1" s="496" t="s">
        <v>32</v>
      </c>
      <c r="J1" s="888" t="s">
        <v>458</v>
      </c>
    </row>
    <row r="2" spans="1:10" ht="18.75">
      <c r="A2" s="495" t="s">
        <v>366</v>
      </c>
    </row>
    <row r="3" spans="1:10" ht="18.75">
      <c r="A3" s="495" t="s">
        <v>455</v>
      </c>
    </row>
    <row r="4" spans="1:10" ht="18.75">
      <c r="A4" s="495" t="s">
        <v>454</v>
      </c>
    </row>
    <row r="7" spans="1:10">
      <c r="A7" s="534" t="s">
        <v>34</v>
      </c>
      <c r="B7" s="534" t="s">
        <v>369</v>
      </c>
      <c r="C7" s="534">
        <v>2016</v>
      </c>
      <c r="D7" s="534">
        <f t="shared" ref="D7:H7" si="0">C7+1</f>
        <v>2017</v>
      </c>
      <c r="E7" s="534">
        <f t="shared" si="0"/>
        <v>2018</v>
      </c>
      <c r="F7" s="534">
        <f t="shared" si="0"/>
        <v>2019</v>
      </c>
      <c r="G7" s="534">
        <f t="shared" si="0"/>
        <v>2020</v>
      </c>
      <c r="H7" s="534">
        <f t="shared" si="0"/>
        <v>2021</v>
      </c>
      <c r="I7" s="1106">
        <v>2022</v>
      </c>
    </row>
    <row r="8" spans="1:10">
      <c r="A8" s="534" t="s">
        <v>36</v>
      </c>
      <c r="B8" s="534" t="s">
        <v>371</v>
      </c>
      <c r="C8" s="603">
        <v>22875</v>
      </c>
      <c r="D8" s="603">
        <v>27810</v>
      </c>
      <c r="E8" s="603">
        <v>37292</v>
      </c>
      <c r="F8" s="603">
        <v>40904</v>
      </c>
      <c r="G8" s="603">
        <v>39370</v>
      </c>
      <c r="H8" s="603">
        <v>32032</v>
      </c>
      <c r="I8" s="1166">
        <v>23753</v>
      </c>
    </row>
    <row r="9" spans="1:10">
      <c r="A9" s="525"/>
      <c r="B9" s="774" t="s">
        <v>372</v>
      </c>
      <c r="C9" s="776">
        <v>16427</v>
      </c>
      <c r="D9" s="776">
        <v>17530</v>
      </c>
      <c r="E9" s="776">
        <v>20442</v>
      </c>
      <c r="F9" s="776">
        <v>23227</v>
      </c>
      <c r="G9" s="776">
        <v>23459</v>
      </c>
      <c r="H9" s="776">
        <v>19633</v>
      </c>
      <c r="I9" s="1166">
        <v>15741</v>
      </c>
    </row>
    <row r="10" spans="1:10">
      <c r="A10" s="525"/>
      <c r="B10" s="774" t="s">
        <v>373</v>
      </c>
      <c r="C10" s="776">
        <v>23353</v>
      </c>
      <c r="D10" s="776">
        <v>25171</v>
      </c>
      <c r="E10" s="776">
        <v>28624</v>
      </c>
      <c r="F10" s="776">
        <v>28865</v>
      </c>
      <c r="G10" s="776">
        <v>27096</v>
      </c>
      <c r="H10" s="776">
        <v>21158</v>
      </c>
      <c r="I10" s="1166">
        <v>14784</v>
      </c>
    </row>
    <row r="11" spans="1:10">
      <c r="A11" s="525"/>
      <c r="B11" s="774" t="s">
        <v>374</v>
      </c>
      <c r="C11" s="776">
        <v>25368</v>
      </c>
      <c r="D11" s="776">
        <v>26587</v>
      </c>
      <c r="E11" s="776">
        <v>31614</v>
      </c>
      <c r="F11" s="776">
        <v>34870</v>
      </c>
      <c r="G11" s="776">
        <v>34002</v>
      </c>
      <c r="H11" s="776">
        <v>28037</v>
      </c>
      <c r="I11" s="1166">
        <v>21143</v>
      </c>
    </row>
    <row r="12" spans="1:10">
      <c r="A12" s="525"/>
      <c r="B12" s="755" t="s">
        <v>375</v>
      </c>
      <c r="C12" s="756">
        <v>7901</v>
      </c>
      <c r="D12" s="756">
        <v>8501</v>
      </c>
      <c r="E12" s="756">
        <v>9608</v>
      </c>
      <c r="F12" s="756">
        <v>9845</v>
      </c>
      <c r="G12" s="756">
        <v>9671</v>
      </c>
      <c r="H12" s="756">
        <v>7902</v>
      </c>
      <c r="I12" s="1166">
        <v>6309</v>
      </c>
    </row>
    <row r="13" spans="1:10">
      <c r="A13" s="526"/>
      <c r="B13" s="526" t="s">
        <v>52</v>
      </c>
      <c r="C13" s="538">
        <f t="shared" ref="C13:H13" si="1">SUM(C8:C12)</f>
        <v>95924</v>
      </c>
      <c r="D13" s="538">
        <f t="shared" si="1"/>
        <v>105599</v>
      </c>
      <c r="E13" s="538">
        <f t="shared" si="1"/>
        <v>127580</v>
      </c>
      <c r="F13" s="538">
        <f t="shared" si="1"/>
        <v>137711</v>
      </c>
      <c r="G13" s="538">
        <f t="shared" si="1"/>
        <v>133598</v>
      </c>
      <c r="H13" s="538">
        <f t="shared" si="1"/>
        <v>108762</v>
      </c>
      <c r="I13" s="1166">
        <f>SUM(I8:I12)</f>
        <v>81730</v>
      </c>
    </row>
    <row r="14" spans="1:10">
      <c r="A14" s="534" t="s">
        <v>38</v>
      </c>
      <c r="B14" s="534" t="s">
        <v>371</v>
      </c>
      <c r="C14" s="603">
        <v>63341</v>
      </c>
      <c r="D14" s="603">
        <v>63663</v>
      </c>
      <c r="E14" s="603">
        <v>61338</v>
      </c>
      <c r="F14" s="603">
        <v>56106</v>
      </c>
      <c r="G14" s="603">
        <v>53589</v>
      </c>
      <c r="H14" s="603">
        <v>53975</v>
      </c>
      <c r="I14" s="1108">
        <v>84411</v>
      </c>
    </row>
    <row r="15" spans="1:10">
      <c r="A15" s="525"/>
      <c r="B15" s="774" t="s">
        <v>372</v>
      </c>
      <c r="C15" s="776">
        <v>33359</v>
      </c>
      <c r="D15" s="776">
        <v>33131</v>
      </c>
      <c r="E15" s="776">
        <v>33594</v>
      </c>
      <c r="F15" s="776">
        <v>31318</v>
      </c>
      <c r="G15" s="776">
        <v>31642</v>
      </c>
      <c r="H15" s="776">
        <v>32348</v>
      </c>
      <c r="I15" s="1166">
        <v>35590</v>
      </c>
    </row>
    <row r="16" spans="1:10">
      <c r="A16" s="525"/>
      <c r="B16" s="774" t="s">
        <v>373</v>
      </c>
      <c r="C16" s="776">
        <v>37035</v>
      </c>
      <c r="D16" s="776">
        <v>34800</v>
      </c>
      <c r="E16" s="776">
        <v>33121</v>
      </c>
      <c r="F16" s="776">
        <v>30695</v>
      </c>
      <c r="G16" s="776">
        <v>31828</v>
      </c>
      <c r="H16" s="776">
        <v>34495</v>
      </c>
      <c r="I16" s="1166">
        <v>37056</v>
      </c>
    </row>
    <row r="17" spans="1:9">
      <c r="A17" s="525"/>
      <c r="B17" s="774" t="s">
        <v>374</v>
      </c>
      <c r="C17" s="776">
        <v>47079</v>
      </c>
      <c r="D17" s="776">
        <v>45709</v>
      </c>
      <c r="E17" s="776">
        <v>44416</v>
      </c>
      <c r="F17" s="776">
        <v>41725</v>
      </c>
      <c r="G17" s="776">
        <v>40967</v>
      </c>
      <c r="H17" s="776">
        <v>41199</v>
      </c>
      <c r="I17" s="1166">
        <v>43608</v>
      </c>
    </row>
    <row r="18" spans="1:9">
      <c r="A18" s="525"/>
      <c r="B18" s="755" t="s">
        <v>375</v>
      </c>
      <c r="C18" s="756">
        <v>21872</v>
      </c>
      <c r="D18" s="756">
        <v>21931</v>
      </c>
      <c r="E18" s="756">
        <v>21807</v>
      </c>
      <c r="F18" s="756">
        <v>19872</v>
      </c>
      <c r="G18" s="756">
        <v>21268</v>
      </c>
      <c r="H18" s="756">
        <v>22145</v>
      </c>
      <c r="I18" s="1166">
        <v>24572</v>
      </c>
    </row>
    <row r="19" spans="1:9">
      <c r="A19" s="526"/>
      <c r="B19" s="526" t="s">
        <v>52</v>
      </c>
      <c r="C19" s="538">
        <f t="shared" ref="C19:H19" si="2">SUM(C14:C18)</f>
        <v>202686</v>
      </c>
      <c r="D19" s="538">
        <f t="shared" si="2"/>
        <v>199234</v>
      </c>
      <c r="E19" s="538">
        <f t="shared" si="2"/>
        <v>194276</v>
      </c>
      <c r="F19" s="538">
        <f t="shared" si="2"/>
        <v>179716</v>
      </c>
      <c r="G19" s="538">
        <f t="shared" si="2"/>
        <v>179294</v>
      </c>
      <c r="H19" s="538">
        <f t="shared" si="2"/>
        <v>184162</v>
      </c>
      <c r="I19" s="1166">
        <f>SUM(I14:I18)</f>
        <v>225237</v>
      </c>
    </row>
    <row r="20" spans="1:9">
      <c r="A20" s="534" t="s">
        <v>42</v>
      </c>
      <c r="B20" s="534" t="s">
        <v>371</v>
      </c>
      <c r="C20" s="603">
        <v>38794</v>
      </c>
      <c r="D20" s="603">
        <v>40044</v>
      </c>
      <c r="E20" s="603">
        <v>37842</v>
      </c>
      <c r="F20" s="603">
        <v>41414</v>
      </c>
      <c r="G20" s="603">
        <v>46213</v>
      </c>
      <c r="H20" s="603">
        <v>50773</v>
      </c>
      <c r="I20" s="1108">
        <v>49421</v>
      </c>
    </row>
    <row r="21" spans="1:9">
      <c r="A21" s="525"/>
      <c r="B21" s="774" t="s">
        <v>372</v>
      </c>
      <c r="C21" s="776">
        <v>13565</v>
      </c>
      <c r="D21" s="776">
        <v>15920</v>
      </c>
      <c r="E21" s="776">
        <v>16146</v>
      </c>
      <c r="F21" s="776">
        <v>17465</v>
      </c>
      <c r="G21" s="776">
        <v>19038</v>
      </c>
      <c r="H21" s="776">
        <v>21526</v>
      </c>
      <c r="I21" s="1166">
        <v>19989</v>
      </c>
    </row>
    <row r="22" spans="1:9">
      <c r="A22" s="525"/>
      <c r="B22" s="774" t="s">
        <v>373</v>
      </c>
      <c r="C22" s="776">
        <v>22652</v>
      </c>
      <c r="D22" s="776">
        <v>27484</v>
      </c>
      <c r="E22" s="776">
        <v>26600</v>
      </c>
      <c r="F22" s="776">
        <v>26839</v>
      </c>
      <c r="G22" s="776">
        <v>28220</v>
      </c>
      <c r="H22" s="776">
        <v>30502</v>
      </c>
      <c r="I22" s="1166">
        <v>26552</v>
      </c>
    </row>
    <row r="23" spans="1:9">
      <c r="A23" s="525"/>
      <c r="B23" s="774" t="s">
        <v>374</v>
      </c>
      <c r="C23" s="776">
        <v>23323</v>
      </c>
      <c r="D23" s="776">
        <v>25399</v>
      </c>
      <c r="E23" s="776">
        <v>26173</v>
      </c>
      <c r="F23" s="776">
        <v>27023</v>
      </c>
      <c r="G23" s="776">
        <v>27478</v>
      </c>
      <c r="H23" s="776">
        <v>28187</v>
      </c>
      <c r="I23" s="1166">
        <v>26157</v>
      </c>
    </row>
    <row r="24" spans="1:9">
      <c r="A24" s="525"/>
      <c r="B24" s="755" t="s">
        <v>375</v>
      </c>
      <c r="C24" s="756">
        <v>10535</v>
      </c>
      <c r="D24" s="756">
        <v>11815</v>
      </c>
      <c r="E24" s="756">
        <v>12251</v>
      </c>
      <c r="F24" s="756">
        <v>12920</v>
      </c>
      <c r="G24" s="756">
        <v>13817</v>
      </c>
      <c r="H24" s="756">
        <v>14894</v>
      </c>
      <c r="I24" s="1166">
        <v>13061</v>
      </c>
    </row>
    <row r="25" spans="1:9">
      <c r="A25" s="526"/>
      <c r="B25" s="526" t="s">
        <v>52</v>
      </c>
      <c r="C25" s="538">
        <f t="shared" ref="C25:H25" si="3">SUM(C20:C24)</f>
        <v>108869</v>
      </c>
      <c r="D25" s="538">
        <f t="shared" si="3"/>
        <v>120662</v>
      </c>
      <c r="E25" s="538">
        <f t="shared" si="3"/>
        <v>119012</v>
      </c>
      <c r="F25" s="538">
        <f t="shared" si="3"/>
        <v>125661</v>
      </c>
      <c r="G25" s="538">
        <f t="shared" si="3"/>
        <v>134766</v>
      </c>
      <c r="H25" s="538">
        <f t="shared" si="3"/>
        <v>145882</v>
      </c>
      <c r="I25" s="1166">
        <f>SUM(I20:I24)</f>
        <v>135180</v>
      </c>
    </row>
    <row r="26" spans="1:9">
      <c r="A26" s="534" t="s">
        <v>43</v>
      </c>
      <c r="B26" s="534" t="s">
        <v>371</v>
      </c>
      <c r="C26" s="603">
        <v>107697</v>
      </c>
      <c r="D26" s="603">
        <v>128275</v>
      </c>
      <c r="E26" s="603">
        <v>139603</v>
      </c>
      <c r="F26" s="603">
        <v>157938</v>
      </c>
      <c r="G26" s="603">
        <v>183055</v>
      </c>
      <c r="H26" s="603">
        <v>236662</v>
      </c>
      <c r="I26" s="1108">
        <v>277853</v>
      </c>
    </row>
    <row r="27" spans="1:9">
      <c r="A27" s="525"/>
      <c r="B27" s="774" t="s">
        <v>372</v>
      </c>
      <c r="C27" s="776">
        <v>56587</v>
      </c>
      <c r="D27" s="776">
        <v>65302</v>
      </c>
      <c r="E27" s="776">
        <v>63243</v>
      </c>
      <c r="F27" s="776">
        <v>71224</v>
      </c>
      <c r="G27" s="776">
        <v>82416</v>
      </c>
      <c r="H27" s="776">
        <v>106638</v>
      </c>
      <c r="I27" s="1166">
        <v>122994</v>
      </c>
    </row>
    <row r="28" spans="1:9">
      <c r="A28" s="525"/>
      <c r="B28" s="774" t="s">
        <v>373</v>
      </c>
      <c r="C28" s="776">
        <v>107642</v>
      </c>
      <c r="D28" s="776">
        <v>94970</v>
      </c>
      <c r="E28" s="776">
        <v>95401</v>
      </c>
      <c r="F28" s="776">
        <v>93838</v>
      </c>
      <c r="G28" s="776">
        <v>113046</v>
      </c>
      <c r="H28" s="776">
        <v>157124</v>
      </c>
      <c r="I28" s="1166">
        <v>178364</v>
      </c>
    </row>
    <row r="29" spans="1:9">
      <c r="A29" s="525"/>
      <c r="B29" s="774" t="s">
        <v>374</v>
      </c>
      <c r="C29" s="776">
        <v>102126</v>
      </c>
      <c r="D29" s="776">
        <v>111463</v>
      </c>
      <c r="E29" s="776">
        <v>102380</v>
      </c>
      <c r="F29" s="776">
        <v>100745</v>
      </c>
      <c r="G29" s="776">
        <v>116055</v>
      </c>
      <c r="H29" s="776">
        <v>148118</v>
      </c>
      <c r="I29" s="1166">
        <v>168818</v>
      </c>
    </row>
    <row r="30" spans="1:9">
      <c r="A30" s="525"/>
      <c r="B30" s="755" t="s">
        <v>375</v>
      </c>
      <c r="C30" s="756">
        <v>30153</v>
      </c>
      <c r="D30" s="756">
        <v>32139</v>
      </c>
      <c r="E30" s="756">
        <v>31007</v>
      </c>
      <c r="F30" s="756">
        <v>29059</v>
      </c>
      <c r="G30" s="756">
        <v>35552</v>
      </c>
      <c r="H30" s="756">
        <v>47404</v>
      </c>
      <c r="I30" s="1166">
        <v>50318</v>
      </c>
    </row>
    <row r="31" spans="1:9">
      <c r="A31" s="526"/>
      <c r="B31" s="526" t="s">
        <v>52</v>
      </c>
      <c r="C31" s="538">
        <f t="shared" ref="C31:H31" si="4">SUM(C26:C30)</f>
        <v>404205</v>
      </c>
      <c r="D31" s="538">
        <f t="shared" si="4"/>
        <v>432149</v>
      </c>
      <c r="E31" s="538">
        <f t="shared" si="4"/>
        <v>431634</v>
      </c>
      <c r="F31" s="538">
        <f t="shared" si="4"/>
        <v>452804</v>
      </c>
      <c r="G31" s="538">
        <f t="shared" si="4"/>
        <v>530124</v>
      </c>
      <c r="H31" s="538">
        <f t="shared" si="4"/>
        <v>695946</v>
      </c>
      <c r="I31" s="1166">
        <f>SUM(I26:I30)</f>
        <v>798347</v>
      </c>
    </row>
    <row r="32" spans="1:9">
      <c r="A32" s="525" t="s">
        <v>44</v>
      </c>
      <c r="B32" s="525" t="s">
        <v>371</v>
      </c>
      <c r="C32" s="536">
        <v>149757</v>
      </c>
      <c r="D32" s="536">
        <v>154403</v>
      </c>
      <c r="E32" s="536">
        <v>146606</v>
      </c>
      <c r="F32" s="536">
        <v>168908</v>
      </c>
      <c r="G32" s="536">
        <v>169260</v>
      </c>
      <c r="H32" s="536">
        <v>163265</v>
      </c>
      <c r="I32" s="1108">
        <v>165213</v>
      </c>
    </row>
    <row r="33" spans="1:52">
      <c r="A33" s="525"/>
      <c r="B33" s="774" t="s">
        <v>372</v>
      </c>
      <c r="C33" s="776">
        <v>49471</v>
      </c>
      <c r="D33" s="776">
        <v>53168</v>
      </c>
      <c r="E33" s="776">
        <v>51589</v>
      </c>
      <c r="F33" s="776">
        <v>61824</v>
      </c>
      <c r="G33" s="776">
        <v>60586</v>
      </c>
      <c r="H33" s="776">
        <v>58846</v>
      </c>
      <c r="I33" s="1166">
        <v>59665</v>
      </c>
    </row>
    <row r="34" spans="1:52">
      <c r="A34" s="525"/>
      <c r="B34" s="774" t="s">
        <v>373</v>
      </c>
      <c r="C34" s="776">
        <v>41691</v>
      </c>
      <c r="D34" s="776">
        <v>43613</v>
      </c>
      <c r="E34" s="776">
        <v>41654</v>
      </c>
      <c r="F34" s="776">
        <v>45084</v>
      </c>
      <c r="G34" s="776">
        <v>44854</v>
      </c>
      <c r="H34" s="776">
        <v>44091</v>
      </c>
      <c r="I34" s="1166">
        <v>42820</v>
      </c>
    </row>
    <row r="35" spans="1:52">
      <c r="A35" s="525"/>
      <c r="B35" s="774" t="s">
        <v>374</v>
      </c>
      <c r="C35" s="776">
        <v>44799</v>
      </c>
      <c r="D35" s="776">
        <v>49183</v>
      </c>
      <c r="E35" s="776">
        <v>49565</v>
      </c>
      <c r="F35" s="776">
        <v>57337</v>
      </c>
      <c r="G35" s="776">
        <v>56455</v>
      </c>
      <c r="H35" s="776">
        <v>54532</v>
      </c>
      <c r="I35" s="1166">
        <v>56407</v>
      </c>
    </row>
    <row r="36" spans="1:52">
      <c r="A36" s="525"/>
      <c r="B36" s="775" t="s">
        <v>375</v>
      </c>
      <c r="C36" s="777">
        <v>17331</v>
      </c>
      <c r="D36" s="777">
        <v>18461</v>
      </c>
      <c r="E36" s="777">
        <v>18345</v>
      </c>
      <c r="F36" s="777">
        <v>21277</v>
      </c>
      <c r="G36" s="777">
        <v>20845</v>
      </c>
      <c r="H36" s="777">
        <v>19933</v>
      </c>
      <c r="I36" s="1166">
        <v>19934</v>
      </c>
    </row>
    <row r="37" spans="1:52">
      <c r="A37" s="526"/>
      <c r="B37" s="526" t="s">
        <v>52</v>
      </c>
      <c r="C37" s="538">
        <f t="shared" ref="C37:H37" si="5">SUM(C32:C36)</f>
        <v>303049</v>
      </c>
      <c r="D37" s="538">
        <f t="shared" si="5"/>
        <v>318828</v>
      </c>
      <c r="E37" s="538">
        <f t="shared" si="5"/>
        <v>307759</v>
      </c>
      <c r="F37" s="538">
        <f t="shared" si="5"/>
        <v>354430</v>
      </c>
      <c r="G37" s="538">
        <f t="shared" si="5"/>
        <v>352000</v>
      </c>
      <c r="H37" s="538">
        <f t="shared" si="5"/>
        <v>340667</v>
      </c>
      <c r="I37" s="1167">
        <f>SUM(I32:I36)</f>
        <v>344039</v>
      </c>
    </row>
    <row r="40" spans="1:52">
      <c r="C40" s="566"/>
    </row>
    <row r="41" spans="1:52">
      <c r="A41" s="534" t="s">
        <v>34</v>
      </c>
      <c r="B41" s="534" t="s">
        <v>369</v>
      </c>
      <c r="C41" s="534">
        <f>C7</f>
        <v>2016</v>
      </c>
      <c r="D41" s="534">
        <f t="shared" ref="D41:H41" si="6">C41+1</f>
        <v>2017</v>
      </c>
      <c r="E41" s="534">
        <f t="shared" si="6"/>
        <v>2018</v>
      </c>
      <c r="F41" s="534">
        <f t="shared" si="6"/>
        <v>2019</v>
      </c>
      <c r="G41" s="534">
        <f t="shared" si="6"/>
        <v>2020</v>
      </c>
      <c r="H41" s="534">
        <f t="shared" si="6"/>
        <v>2021</v>
      </c>
      <c r="I41" s="1187">
        <v>2022</v>
      </c>
    </row>
    <row r="42" spans="1:52">
      <c r="A42" s="534" t="s">
        <v>36</v>
      </c>
      <c r="B42" s="534" t="s">
        <v>371</v>
      </c>
      <c r="C42" s="752">
        <f t="shared" ref="C42:H42" si="7">C8/C13</f>
        <v>0.23847003878070139</v>
      </c>
      <c r="D42" s="752">
        <f t="shared" si="7"/>
        <v>0.2633547666171081</v>
      </c>
      <c r="E42" s="752">
        <f t="shared" si="7"/>
        <v>0.29230286878821132</v>
      </c>
      <c r="F42" s="752">
        <f t="shared" si="7"/>
        <v>0.29702783365163277</v>
      </c>
      <c r="G42" s="752">
        <f t="shared" si="7"/>
        <v>0.2946900402700639</v>
      </c>
      <c r="H42" s="752">
        <f t="shared" si="7"/>
        <v>0.29451462827090347</v>
      </c>
      <c r="I42" s="1107">
        <f t="shared" ref="I42" si="8">I8/I13</f>
        <v>0.29062767649577881</v>
      </c>
    </row>
    <row r="43" spans="1:52">
      <c r="A43" s="525"/>
      <c r="B43" s="774" t="s">
        <v>372</v>
      </c>
      <c r="C43" s="555">
        <f t="shared" ref="C43:H43" si="9">C9/C13</f>
        <v>0.17125015637379593</v>
      </c>
      <c r="D43" s="555">
        <f t="shared" si="9"/>
        <v>0.16600535989924148</v>
      </c>
      <c r="E43" s="555">
        <f t="shared" si="9"/>
        <v>0.16022887599937294</v>
      </c>
      <c r="F43" s="555">
        <f t="shared" si="9"/>
        <v>0.16866481254220797</v>
      </c>
      <c r="G43" s="555">
        <f t="shared" si="9"/>
        <v>0.17559394601715594</v>
      </c>
      <c r="H43" s="555">
        <f t="shared" si="9"/>
        <v>0.18051341461172102</v>
      </c>
      <c r="I43" s="1102">
        <f t="shared" ref="I43" si="10">I9/I13</f>
        <v>0.19259757738896366</v>
      </c>
      <c r="L43" s="896" t="s">
        <v>460</v>
      </c>
    </row>
    <row r="44" spans="1:52">
      <c r="A44" s="525"/>
      <c r="B44" s="774" t="s">
        <v>373</v>
      </c>
      <c r="C44" s="555">
        <f t="shared" ref="C44:H44" si="11">C10/C13</f>
        <v>0.24345315041074184</v>
      </c>
      <c r="D44" s="555">
        <f t="shared" si="11"/>
        <v>0.23836399965908769</v>
      </c>
      <c r="E44" s="555">
        <f t="shared" si="11"/>
        <v>0.22436118513873649</v>
      </c>
      <c r="F44" s="555">
        <f t="shared" si="11"/>
        <v>0.20960562337068209</v>
      </c>
      <c r="G44" s="555">
        <f t="shared" si="11"/>
        <v>0.20281740744621926</v>
      </c>
      <c r="H44" s="555">
        <f t="shared" si="11"/>
        <v>0.19453485592394401</v>
      </c>
      <c r="I44" s="1102">
        <f t="shared" ref="I44" si="12">I10/I13</f>
        <v>0.18088829071332435</v>
      </c>
    </row>
    <row r="45" spans="1:52">
      <c r="A45" s="525"/>
      <c r="B45" s="774" t="s">
        <v>374</v>
      </c>
      <c r="C45" s="555">
        <f t="shared" ref="C45:H45" si="13">C11/C13</f>
        <v>0.26445936366289979</v>
      </c>
      <c r="D45" s="555">
        <f t="shared" si="13"/>
        <v>0.25177321754940862</v>
      </c>
      <c r="E45" s="555">
        <f t="shared" si="13"/>
        <v>0.24779746041699327</v>
      </c>
      <c r="F45" s="555">
        <f t="shared" si="13"/>
        <v>0.25321143554254927</v>
      </c>
      <c r="G45" s="555">
        <f t="shared" si="13"/>
        <v>0.25450979805086904</v>
      </c>
      <c r="H45" s="555">
        <f t="shared" si="13"/>
        <v>0.25778304922675199</v>
      </c>
      <c r="I45" s="1102">
        <f t="shared" ref="I45" si="14">I11/I13</f>
        <v>0.2586932582894898</v>
      </c>
    </row>
    <row r="46" spans="1:52">
      <c r="A46" s="525"/>
      <c r="B46" s="755" t="s">
        <v>375</v>
      </c>
      <c r="C46" s="895">
        <f t="shared" ref="C46:H46" si="15">C12/C13</f>
        <v>8.2367290771861057E-2</v>
      </c>
      <c r="D46" s="895">
        <f t="shared" si="15"/>
        <v>8.0502656275154127E-2</v>
      </c>
      <c r="E46" s="895">
        <f t="shared" si="15"/>
        <v>7.5309609656685997E-2</v>
      </c>
      <c r="F46" s="895">
        <f t="shared" si="15"/>
        <v>7.149029489292795E-2</v>
      </c>
      <c r="G46" s="895">
        <f t="shared" si="15"/>
        <v>7.2388808215691852E-2</v>
      </c>
      <c r="H46" s="895">
        <f t="shared" si="15"/>
        <v>7.2654051966679539E-2</v>
      </c>
      <c r="I46" s="1105">
        <f t="shared" ref="I46" si="16">I12/I13</f>
        <v>7.7193197112443407E-2</v>
      </c>
      <c r="L46" s="846" t="s">
        <v>36</v>
      </c>
      <c r="M46" s="836"/>
      <c r="N46" s="836"/>
      <c r="O46" s="836"/>
      <c r="P46" s="836"/>
      <c r="Q46" s="836"/>
      <c r="R46" s="836"/>
      <c r="S46" s="836"/>
      <c r="T46" s="836" t="s">
        <v>38</v>
      </c>
      <c r="U46" s="836"/>
      <c r="V46" s="836"/>
      <c r="W46" s="836"/>
      <c r="X46" s="836"/>
      <c r="Y46" s="836"/>
      <c r="Z46" s="836"/>
      <c r="AA46" s="836"/>
      <c r="AB46" s="836" t="s">
        <v>42</v>
      </c>
      <c r="AC46" s="836"/>
      <c r="AD46" s="836"/>
      <c r="AE46" s="836"/>
      <c r="AF46" s="836"/>
      <c r="AG46" s="836"/>
      <c r="AH46" s="836"/>
      <c r="AI46" s="836"/>
      <c r="AJ46" s="836" t="s">
        <v>43</v>
      </c>
      <c r="AK46" s="836"/>
      <c r="AL46" s="836"/>
      <c r="AM46" s="836"/>
      <c r="AN46" s="836"/>
      <c r="AO46" s="836"/>
      <c r="AP46" s="836"/>
      <c r="AQ46" s="836"/>
      <c r="AR46" s="836" t="s">
        <v>44</v>
      </c>
      <c r="AS46" s="836"/>
      <c r="AT46" s="836"/>
      <c r="AU46" s="836"/>
      <c r="AV46" s="836"/>
      <c r="AW46" s="836"/>
      <c r="AX46" s="837"/>
      <c r="AY46" s="1086"/>
      <c r="AZ46" s="1086"/>
    </row>
    <row r="47" spans="1:52">
      <c r="A47" s="534" t="s">
        <v>38</v>
      </c>
      <c r="B47" s="534" t="s">
        <v>371</v>
      </c>
      <c r="C47" s="752">
        <f t="shared" ref="C47:G47" si="17">C14/C19</f>
        <v>0.31250801732729444</v>
      </c>
      <c r="D47" s="752">
        <f t="shared" si="17"/>
        <v>0.31953883373319814</v>
      </c>
      <c r="E47" s="752">
        <f t="shared" si="17"/>
        <v>0.31572608042166816</v>
      </c>
      <c r="F47" s="752">
        <f t="shared" si="17"/>
        <v>0.31219257050012239</v>
      </c>
      <c r="G47" s="752">
        <f t="shared" si="17"/>
        <v>0.29888897564893413</v>
      </c>
      <c r="H47" s="752">
        <f t="shared" ref="H47:I47" si="18">H14/H19</f>
        <v>0.29308434964867885</v>
      </c>
      <c r="I47" s="1107">
        <f t="shared" si="18"/>
        <v>0.37476524727287258</v>
      </c>
      <c r="L47" s="847">
        <f t="shared" ref="L47:Q47" si="19">C7</f>
        <v>2016</v>
      </c>
      <c r="M47" s="834">
        <f t="shared" si="19"/>
        <v>2017</v>
      </c>
      <c r="N47" s="834">
        <f t="shared" si="19"/>
        <v>2018</v>
      </c>
      <c r="O47" s="834">
        <f t="shared" si="19"/>
        <v>2019</v>
      </c>
      <c r="P47" s="834">
        <f t="shared" si="19"/>
        <v>2020</v>
      </c>
      <c r="Q47" s="834">
        <f t="shared" si="19"/>
        <v>2021</v>
      </c>
      <c r="R47" s="834">
        <v>2022</v>
      </c>
      <c r="S47" s="834"/>
      <c r="T47" s="834">
        <f t="shared" ref="T47:Y47" si="20">L47</f>
        <v>2016</v>
      </c>
      <c r="U47" s="834">
        <f t="shared" si="20"/>
        <v>2017</v>
      </c>
      <c r="V47" s="834">
        <f t="shared" si="20"/>
        <v>2018</v>
      </c>
      <c r="W47" s="834">
        <f t="shared" si="20"/>
        <v>2019</v>
      </c>
      <c r="X47" s="834">
        <f t="shared" si="20"/>
        <v>2020</v>
      </c>
      <c r="Y47" s="834">
        <f t="shared" si="20"/>
        <v>2021</v>
      </c>
      <c r="Z47" s="834">
        <v>2022</v>
      </c>
      <c r="AA47" s="834"/>
      <c r="AB47" s="834">
        <f t="shared" ref="AB47:AG47" si="21">T47</f>
        <v>2016</v>
      </c>
      <c r="AC47" s="834">
        <f t="shared" si="21"/>
        <v>2017</v>
      </c>
      <c r="AD47" s="834">
        <f t="shared" si="21"/>
        <v>2018</v>
      </c>
      <c r="AE47" s="834">
        <f t="shared" si="21"/>
        <v>2019</v>
      </c>
      <c r="AF47" s="834">
        <f t="shared" si="21"/>
        <v>2020</v>
      </c>
      <c r="AG47" s="834">
        <f t="shared" si="21"/>
        <v>2021</v>
      </c>
      <c r="AH47" s="834">
        <v>2022</v>
      </c>
      <c r="AI47" s="834"/>
      <c r="AJ47" s="834">
        <f t="shared" ref="AJ47:AO47" si="22">AB47</f>
        <v>2016</v>
      </c>
      <c r="AK47" s="834">
        <f t="shared" si="22"/>
        <v>2017</v>
      </c>
      <c r="AL47" s="834">
        <f t="shared" si="22"/>
        <v>2018</v>
      </c>
      <c r="AM47" s="834">
        <f t="shared" si="22"/>
        <v>2019</v>
      </c>
      <c r="AN47" s="834">
        <f t="shared" si="22"/>
        <v>2020</v>
      </c>
      <c r="AO47" s="834">
        <f t="shared" si="22"/>
        <v>2021</v>
      </c>
      <c r="AP47" s="834">
        <v>2022</v>
      </c>
      <c r="AQ47" s="834"/>
      <c r="AR47" s="834">
        <f t="shared" ref="AR47:AW47" si="23">AJ47</f>
        <v>2016</v>
      </c>
      <c r="AS47" s="834">
        <f t="shared" si="23"/>
        <v>2017</v>
      </c>
      <c r="AT47" s="834">
        <f t="shared" si="23"/>
        <v>2018</v>
      </c>
      <c r="AU47" s="834">
        <f t="shared" si="23"/>
        <v>2019</v>
      </c>
      <c r="AV47" s="834">
        <f t="shared" si="23"/>
        <v>2020</v>
      </c>
      <c r="AW47" s="834">
        <f t="shared" si="23"/>
        <v>2021</v>
      </c>
      <c r="AX47" s="839">
        <v>2022</v>
      </c>
      <c r="AY47" s="1086"/>
      <c r="AZ47" s="1086"/>
    </row>
    <row r="48" spans="1:52">
      <c r="A48" s="525"/>
      <c r="B48" s="774" t="s">
        <v>372</v>
      </c>
      <c r="C48" s="555">
        <f t="shared" ref="C48:G48" si="24">C15/C19</f>
        <v>0.16458462844005012</v>
      </c>
      <c r="D48" s="555">
        <f t="shared" si="24"/>
        <v>0.16629189796922211</v>
      </c>
      <c r="E48" s="555">
        <f t="shared" si="24"/>
        <v>0.17291894006465028</v>
      </c>
      <c r="F48" s="555">
        <f t="shared" si="24"/>
        <v>0.17426383850074562</v>
      </c>
      <c r="G48" s="555">
        <f t="shared" si="24"/>
        <v>0.17648108692984707</v>
      </c>
      <c r="H48" s="555">
        <f t="shared" ref="H48:I48" si="25">H15/H19</f>
        <v>0.17564969972089792</v>
      </c>
      <c r="I48" s="1102">
        <f t="shared" si="25"/>
        <v>0.15801133916718835</v>
      </c>
      <c r="L48" s="889">
        <f t="shared" ref="L48:R48" si="26">C8/C13</f>
        <v>0.23847003878070139</v>
      </c>
      <c r="M48" s="890">
        <f t="shared" si="26"/>
        <v>0.2633547666171081</v>
      </c>
      <c r="N48" s="890">
        <f t="shared" si="26"/>
        <v>0.29230286878821132</v>
      </c>
      <c r="O48" s="890">
        <f t="shared" si="26"/>
        <v>0.29702783365163277</v>
      </c>
      <c r="P48" s="890">
        <f t="shared" si="26"/>
        <v>0.2946900402700639</v>
      </c>
      <c r="Q48" s="890">
        <f t="shared" si="26"/>
        <v>0.29451462827090347</v>
      </c>
      <c r="R48" s="890">
        <f t="shared" si="26"/>
        <v>0.29062767649577881</v>
      </c>
      <c r="S48" s="834"/>
      <c r="T48" s="890">
        <f t="shared" ref="T48:Z48" si="27">C14/C19</f>
        <v>0.31250801732729444</v>
      </c>
      <c r="U48" s="890">
        <f t="shared" si="27"/>
        <v>0.31953883373319814</v>
      </c>
      <c r="V48" s="890">
        <f t="shared" si="27"/>
        <v>0.31572608042166816</v>
      </c>
      <c r="W48" s="890">
        <f t="shared" si="27"/>
        <v>0.31219257050012239</v>
      </c>
      <c r="X48" s="890">
        <f t="shared" si="27"/>
        <v>0.29888897564893413</v>
      </c>
      <c r="Y48" s="890">
        <f t="shared" si="27"/>
        <v>0.29308434964867885</v>
      </c>
      <c r="Z48" s="890">
        <f t="shared" si="27"/>
        <v>0.37476524727287258</v>
      </c>
      <c r="AA48" s="890"/>
      <c r="AB48" s="890">
        <f t="shared" ref="AB48:AH48" si="28">C20/C25</f>
        <v>0.35633651452663295</v>
      </c>
      <c r="AC48" s="890">
        <f t="shared" si="28"/>
        <v>0.33186918831115014</v>
      </c>
      <c r="AD48" s="890">
        <f t="shared" si="28"/>
        <v>0.31796793600645312</v>
      </c>
      <c r="AE48" s="890">
        <f t="shared" si="28"/>
        <v>0.3295692378701427</v>
      </c>
      <c r="AF48" s="890">
        <f t="shared" si="28"/>
        <v>0.34291290088004395</v>
      </c>
      <c r="AG48" s="890">
        <f t="shared" si="28"/>
        <v>0.34804156784250284</v>
      </c>
      <c r="AH48" s="890">
        <f t="shared" si="28"/>
        <v>0.36559402278443559</v>
      </c>
      <c r="AI48" s="834"/>
      <c r="AJ48" s="890">
        <f t="shared" ref="AJ48:AP48" si="29">C26/C31</f>
        <v>0.26644153338033916</v>
      </c>
      <c r="AK48" s="890">
        <f t="shared" si="29"/>
        <v>0.29683049133516448</v>
      </c>
      <c r="AL48" s="890">
        <f t="shared" si="29"/>
        <v>0.32342910892098398</v>
      </c>
      <c r="AM48" s="890">
        <f t="shared" si="29"/>
        <v>0.34879992226217083</v>
      </c>
      <c r="AN48" s="890">
        <f t="shared" si="29"/>
        <v>0.34530600387833787</v>
      </c>
      <c r="AO48" s="890">
        <f t="shared" si="29"/>
        <v>0.34005799300520445</v>
      </c>
      <c r="AP48" s="890">
        <f t="shared" si="29"/>
        <v>0.34803537809999913</v>
      </c>
      <c r="AQ48" s="834"/>
      <c r="AR48" s="890">
        <f t="shared" ref="AR48:AX48" si="30">C32/C37</f>
        <v>0.49416760985847175</v>
      </c>
      <c r="AS48" s="890">
        <f t="shared" si="30"/>
        <v>0.48428306171352581</v>
      </c>
      <c r="AT48" s="890">
        <f t="shared" si="30"/>
        <v>0.47636624761582924</v>
      </c>
      <c r="AU48" s="890">
        <f t="shared" si="30"/>
        <v>0.47656236774539401</v>
      </c>
      <c r="AV48" s="890">
        <f t="shared" si="30"/>
        <v>0.48085227272727271</v>
      </c>
      <c r="AW48" s="890">
        <f t="shared" si="30"/>
        <v>0.47925099877593075</v>
      </c>
      <c r="AX48" s="891">
        <f t="shared" si="30"/>
        <v>0.48021590575487083</v>
      </c>
      <c r="AY48" s="1086"/>
      <c r="AZ48" s="1086"/>
    </row>
    <row r="49" spans="1:52">
      <c r="A49" s="525"/>
      <c r="B49" s="774" t="s">
        <v>373</v>
      </c>
      <c r="C49" s="555">
        <f t="shared" ref="C49:G49" si="31">C16/C19</f>
        <v>0.18272105621503212</v>
      </c>
      <c r="D49" s="555">
        <f t="shared" si="31"/>
        <v>0.17466898220183302</v>
      </c>
      <c r="E49" s="555">
        <f t="shared" si="31"/>
        <v>0.17048425950709301</v>
      </c>
      <c r="F49" s="555">
        <f t="shared" si="31"/>
        <v>0.17079725789579114</v>
      </c>
      <c r="G49" s="555">
        <f t="shared" si="31"/>
        <v>0.17751848918536037</v>
      </c>
      <c r="H49" s="555">
        <f t="shared" ref="H49:I49" si="32">H16/H19</f>
        <v>0.18730791368469066</v>
      </c>
      <c r="I49" s="1102">
        <f t="shared" si="32"/>
        <v>0.16452003889236672</v>
      </c>
      <c r="L49" s="889">
        <f t="shared" ref="L49:R49" si="33">C9/C13</f>
        <v>0.17125015637379593</v>
      </c>
      <c r="M49" s="890">
        <f t="shared" si="33"/>
        <v>0.16600535989924148</v>
      </c>
      <c r="N49" s="890">
        <f t="shared" si="33"/>
        <v>0.16022887599937294</v>
      </c>
      <c r="O49" s="890">
        <f t="shared" si="33"/>
        <v>0.16866481254220797</v>
      </c>
      <c r="P49" s="890">
        <f t="shared" si="33"/>
        <v>0.17559394601715594</v>
      </c>
      <c r="Q49" s="890">
        <f t="shared" si="33"/>
        <v>0.18051341461172102</v>
      </c>
      <c r="R49" s="890">
        <f t="shared" si="33"/>
        <v>0.19259757738896366</v>
      </c>
      <c r="S49" s="834"/>
      <c r="T49" s="890">
        <f t="shared" ref="T49:Z49" si="34">C15/C19</f>
        <v>0.16458462844005012</v>
      </c>
      <c r="U49" s="890">
        <f t="shared" si="34"/>
        <v>0.16629189796922211</v>
      </c>
      <c r="V49" s="890">
        <f t="shared" si="34"/>
        <v>0.17291894006465028</v>
      </c>
      <c r="W49" s="890">
        <f t="shared" si="34"/>
        <v>0.17426383850074562</v>
      </c>
      <c r="X49" s="890">
        <f t="shared" si="34"/>
        <v>0.17648108692984707</v>
      </c>
      <c r="Y49" s="890">
        <f t="shared" si="34"/>
        <v>0.17564969972089792</v>
      </c>
      <c r="Z49" s="890">
        <f t="shared" si="34"/>
        <v>0.15801133916718835</v>
      </c>
      <c r="AA49" s="890"/>
      <c r="AB49" s="890">
        <f t="shared" ref="AB49:AH49" si="35">C21/C25</f>
        <v>0.12459928905381697</v>
      </c>
      <c r="AC49" s="890">
        <f t="shared" si="35"/>
        <v>0.1319388042631483</v>
      </c>
      <c r="AD49" s="890">
        <f t="shared" si="35"/>
        <v>0.1356669915638759</v>
      </c>
      <c r="AE49" s="890">
        <f t="shared" si="35"/>
        <v>0.13898504707108808</v>
      </c>
      <c r="AF49" s="890">
        <f t="shared" si="35"/>
        <v>0.14126708516984995</v>
      </c>
      <c r="AG49" s="890">
        <f t="shared" si="35"/>
        <v>0.14755761505874612</v>
      </c>
      <c r="AH49" s="890">
        <f t="shared" si="35"/>
        <v>0.14786950732356857</v>
      </c>
      <c r="AI49" s="834"/>
      <c r="AJ49" s="890">
        <f t="shared" ref="AJ49:AP49" si="36">C27/C31</f>
        <v>0.13999579421333233</v>
      </c>
      <c r="AK49" s="890">
        <f t="shared" si="36"/>
        <v>0.15110991810694924</v>
      </c>
      <c r="AL49" s="890">
        <f t="shared" si="36"/>
        <v>0.14651996830648187</v>
      </c>
      <c r="AM49" s="890">
        <f t="shared" si="36"/>
        <v>0.15729543025238293</v>
      </c>
      <c r="AN49" s="890">
        <f t="shared" si="36"/>
        <v>0.15546551372886344</v>
      </c>
      <c r="AO49" s="890">
        <f t="shared" si="36"/>
        <v>0.15322740557457043</v>
      </c>
      <c r="AP49" s="890">
        <f t="shared" si="36"/>
        <v>0.15406082818623981</v>
      </c>
      <c r="AQ49" s="834"/>
      <c r="AR49" s="890">
        <f t="shared" ref="AR49:AX49" si="37">C33/C37</f>
        <v>0.16324422783114281</v>
      </c>
      <c r="AS49" s="890">
        <f t="shared" si="37"/>
        <v>0.1667607612882181</v>
      </c>
      <c r="AT49" s="890">
        <f t="shared" si="37"/>
        <v>0.16762791664906632</v>
      </c>
      <c r="AU49" s="890">
        <f t="shared" si="37"/>
        <v>0.17443218689162882</v>
      </c>
      <c r="AV49" s="890">
        <f t="shared" si="37"/>
        <v>0.17211931818181819</v>
      </c>
      <c r="AW49" s="890">
        <f t="shared" si="37"/>
        <v>0.17273760006105668</v>
      </c>
      <c r="AX49" s="891">
        <f t="shared" si="37"/>
        <v>0.17342510587462467</v>
      </c>
      <c r="AY49" s="1086"/>
      <c r="AZ49" s="1086"/>
    </row>
    <row r="50" spans="1:52">
      <c r="A50" s="525"/>
      <c r="B50" s="774" t="s">
        <v>374</v>
      </c>
      <c r="C50" s="555">
        <f t="shared" ref="C50:G50" si="38">C17/C19</f>
        <v>0.23227553950445518</v>
      </c>
      <c r="D50" s="555">
        <f t="shared" si="38"/>
        <v>0.22942369274320648</v>
      </c>
      <c r="E50" s="555">
        <f t="shared" si="38"/>
        <v>0.22862319586567564</v>
      </c>
      <c r="F50" s="555">
        <f t="shared" si="38"/>
        <v>0.23217187117451979</v>
      </c>
      <c r="G50" s="555">
        <f t="shared" si="38"/>
        <v>0.22849063549254298</v>
      </c>
      <c r="H50" s="555">
        <f t="shared" ref="H50:I50" si="39">H17/H19</f>
        <v>0.22371064606161967</v>
      </c>
      <c r="I50" s="1102">
        <f t="shared" si="39"/>
        <v>0.1936093981006673</v>
      </c>
      <c r="L50" s="889">
        <f t="shared" ref="L50:R50" si="40">C10/C13</f>
        <v>0.24345315041074184</v>
      </c>
      <c r="M50" s="890">
        <f t="shared" si="40"/>
        <v>0.23836399965908769</v>
      </c>
      <c r="N50" s="890">
        <f t="shared" si="40"/>
        <v>0.22436118513873649</v>
      </c>
      <c r="O50" s="890">
        <f t="shared" si="40"/>
        <v>0.20960562337068209</v>
      </c>
      <c r="P50" s="890">
        <f t="shared" si="40"/>
        <v>0.20281740744621926</v>
      </c>
      <c r="Q50" s="890">
        <f t="shared" si="40"/>
        <v>0.19453485592394401</v>
      </c>
      <c r="R50" s="890">
        <f t="shared" si="40"/>
        <v>0.18088829071332435</v>
      </c>
      <c r="S50" s="834"/>
      <c r="T50" s="890">
        <f t="shared" ref="T50:Z50" si="41">C16/C19</f>
        <v>0.18272105621503212</v>
      </c>
      <c r="U50" s="890">
        <f t="shared" si="41"/>
        <v>0.17466898220183302</v>
      </c>
      <c r="V50" s="890">
        <f t="shared" si="41"/>
        <v>0.17048425950709301</v>
      </c>
      <c r="W50" s="890">
        <f t="shared" si="41"/>
        <v>0.17079725789579114</v>
      </c>
      <c r="X50" s="890">
        <f t="shared" si="41"/>
        <v>0.17751848918536037</v>
      </c>
      <c r="Y50" s="890">
        <f t="shared" si="41"/>
        <v>0.18730791368469066</v>
      </c>
      <c r="Z50" s="890">
        <f t="shared" si="41"/>
        <v>0.16452003889236672</v>
      </c>
      <c r="AA50" s="890"/>
      <c r="AB50" s="890">
        <f t="shared" ref="AB50:AH50" si="42">C22/C25</f>
        <v>0.20806657542551141</v>
      </c>
      <c r="AC50" s="890">
        <f t="shared" si="42"/>
        <v>0.22777676484725928</v>
      </c>
      <c r="AD50" s="890">
        <f t="shared" si="42"/>
        <v>0.22350687325647833</v>
      </c>
      <c r="AE50" s="890">
        <f t="shared" si="42"/>
        <v>0.21358257534159364</v>
      </c>
      <c r="AF50" s="890">
        <f t="shared" si="42"/>
        <v>0.20939999703189233</v>
      </c>
      <c r="AG50" s="890">
        <f t="shared" si="42"/>
        <v>0.20908679617773268</v>
      </c>
      <c r="AH50" s="890">
        <f t="shared" si="42"/>
        <v>0.19641958869655274</v>
      </c>
      <c r="AI50" s="834"/>
      <c r="AJ50" s="890">
        <f t="shared" ref="AJ50:AP50" si="43">C28/C31</f>
        <v>0.26630546381167974</v>
      </c>
      <c r="AK50" s="890">
        <f t="shared" si="43"/>
        <v>0.21976216536426094</v>
      </c>
      <c r="AL50" s="890">
        <f t="shared" si="43"/>
        <v>0.22102290366375216</v>
      </c>
      <c r="AM50" s="890">
        <f t="shared" si="43"/>
        <v>0.2072375685727158</v>
      </c>
      <c r="AN50" s="890">
        <f t="shared" si="43"/>
        <v>0.21324444846866017</v>
      </c>
      <c r="AO50" s="890">
        <f t="shared" si="43"/>
        <v>0.225770390231426</v>
      </c>
      <c r="AP50" s="890">
        <f t="shared" si="43"/>
        <v>0.22341663462128622</v>
      </c>
      <c r="AQ50" s="834"/>
      <c r="AR50" s="890">
        <f t="shared" ref="AR50:AX50" si="44">C34/C37</f>
        <v>0.13757181181921074</v>
      </c>
      <c r="AS50" s="890">
        <f t="shared" si="44"/>
        <v>0.13679162432408698</v>
      </c>
      <c r="AT50" s="890">
        <f t="shared" si="44"/>
        <v>0.1353461637190139</v>
      </c>
      <c r="AU50" s="890">
        <f t="shared" si="44"/>
        <v>0.12720142200152357</v>
      </c>
      <c r="AV50" s="890">
        <f t="shared" si="44"/>
        <v>0.12742613636363637</v>
      </c>
      <c r="AW50" s="890">
        <f t="shared" si="44"/>
        <v>0.12942550936838615</v>
      </c>
      <c r="AX50" s="891">
        <f t="shared" si="44"/>
        <v>0.12446263359677245</v>
      </c>
      <c r="AY50" s="1086"/>
      <c r="AZ50" s="1086"/>
    </row>
    <row r="51" spans="1:52">
      <c r="A51" s="525"/>
      <c r="B51" s="755" t="s">
        <v>375</v>
      </c>
      <c r="C51" s="895">
        <f t="shared" ref="C51:G51" si="45">C18/C19</f>
        <v>0.10791075851316816</v>
      </c>
      <c r="D51" s="895">
        <f t="shared" si="45"/>
        <v>0.11007659335254023</v>
      </c>
      <c r="E51" s="895">
        <f t="shared" si="45"/>
        <v>0.11224752414091292</v>
      </c>
      <c r="F51" s="895">
        <f t="shared" si="45"/>
        <v>0.11057446192882103</v>
      </c>
      <c r="G51" s="895">
        <f t="shared" si="45"/>
        <v>0.11862081274331544</v>
      </c>
      <c r="H51" s="895">
        <f t="shared" ref="H51:I51" si="46">H18/H19</f>
        <v>0.1202473908841129</v>
      </c>
      <c r="I51" s="1105">
        <f t="shared" si="46"/>
        <v>0.10909397656690509</v>
      </c>
      <c r="L51" s="889">
        <f t="shared" ref="L51:R51" si="47">C11/C13</f>
        <v>0.26445936366289979</v>
      </c>
      <c r="M51" s="890">
        <f t="shared" si="47"/>
        <v>0.25177321754940862</v>
      </c>
      <c r="N51" s="890">
        <f t="shared" si="47"/>
        <v>0.24779746041699327</v>
      </c>
      <c r="O51" s="890">
        <f t="shared" si="47"/>
        <v>0.25321143554254927</v>
      </c>
      <c r="P51" s="890">
        <f t="shared" si="47"/>
        <v>0.25450979805086904</v>
      </c>
      <c r="Q51" s="890">
        <f t="shared" si="47"/>
        <v>0.25778304922675199</v>
      </c>
      <c r="R51" s="890">
        <f t="shared" si="47"/>
        <v>0.2586932582894898</v>
      </c>
      <c r="S51" s="834"/>
      <c r="T51" s="890">
        <f t="shared" ref="T51:Z51" si="48">C17/C19</f>
        <v>0.23227553950445518</v>
      </c>
      <c r="U51" s="890">
        <f t="shared" si="48"/>
        <v>0.22942369274320648</v>
      </c>
      <c r="V51" s="890">
        <f t="shared" si="48"/>
        <v>0.22862319586567564</v>
      </c>
      <c r="W51" s="890">
        <f t="shared" si="48"/>
        <v>0.23217187117451979</v>
      </c>
      <c r="X51" s="890">
        <f t="shared" si="48"/>
        <v>0.22849063549254298</v>
      </c>
      <c r="Y51" s="890">
        <f t="shared" si="48"/>
        <v>0.22371064606161967</v>
      </c>
      <c r="Z51" s="890">
        <f t="shared" si="48"/>
        <v>0.1936093981006673</v>
      </c>
      <c r="AA51" s="890"/>
      <c r="AB51" s="890">
        <f t="shared" ref="AB51:AH51" si="49">C23/C25</f>
        <v>0.21422994608198845</v>
      </c>
      <c r="AC51" s="890">
        <f t="shared" si="49"/>
        <v>0.21049709104772008</v>
      </c>
      <c r="AD51" s="890">
        <f t="shared" si="49"/>
        <v>0.21991899976472962</v>
      </c>
      <c r="AE51" s="890">
        <f t="shared" si="49"/>
        <v>0.2150468323505304</v>
      </c>
      <c r="AF51" s="890">
        <f t="shared" si="49"/>
        <v>0.20389415728002611</v>
      </c>
      <c r="AG51" s="890">
        <f t="shared" si="49"/>
        <v>0.19321780617211171</v>
      </c>
      <c r="AH51" s="890">
        <f t="shared" si="49"/>
        <v>0.19349755881047492</v>
      </c>
      <c r="AI51" s="834"/>
      <c r="AJ51" s="890">
        <f t="shared" ref="AJ51:AP51" si="50">C29/C31</f>
        <v>0.25265892307121385</v>
      </c>
      <c r="AK51" s="890">
        <f t="shared" si="50"/>
        <v>0.25792724268712874</v>
      </c>
      <c r="AL51" s="890">
        <f t="shared" si="50"/>
        <v>0.237191694815515</v>
      </c>
      <c r="AM51" s="890">
        <f t="shared" si="50"/>
        <v>0.22249140908649218</v>
      </c>
      <c r="AN51" s="890">
        <f t="shared" si="50"/>
        <v>0.21892047898227585</v>
      </c>
      <c r="AO51" s="890">
        <f t="shared" si="50"/>
        <v>0.21282973104235098</v>
      </c>
      <c r="AP51" s="890">
        <f t="shared" si="50"/>
        <v>0.21145942804319426</v>
      </c>
      <c r="AQ51" s="834"/>
      <c r="AR51" s="890">
        <f t="shared" ref="AR51:AX51" si="51">C35/C37</f>
        <v>0.14782757903837332</v>
      </c>
      <c r="AS51" s="890">
        <f t="shared" si="51"/>
        <v>0.15426185905880285</v>
      </c>
      <c r="AT51" s="890">
        <f t="shared" si="51"/>
        <v>0.16105134212159514</v>
      </c>
      <c r="AU51" s="890">
        <f t="shared" si="51"/>
        <v>0.16177242332759642</v>
      </c>
      <c r="AV51" s="890">
        <f t="shared" si="51"/>
        <v>0.16038352272727271</v>
      </c>
      <c r="AW51" s="890">
        <f t="shared" si="51"/>
        <v>0.16007420736378927</v>
      </c>
      <c r="AX51" s="891">
        <f t="shared" si="51"/>
        <v>0.16395524925953162</v>
      </c>
      <c r="AY51" s="1086"/>
      <c r="AZ51" s="1086"/>
    </row>
    <row r="52" spans="1:52">
      <c r="A52" s="534" t="s">
        <v>42</v>
      </c>
      <c r="B52" s="534" t="s">
        <v>371</v>
      </c>
      <c r="C52" s="752">
        <f t="shared" ref="C52:H52" si="52">C20/C25</f>
        <v>0.35633651452663295</v>
      </c>
      <c r="D52" s="752">
        <f t="shared" si="52"/>
        <v>0.33186918831115014</v>
      </c>
      <c r="E52" s="752">
        <f t="shared" si="52"/>
        <v>0.31796793600645312</v>
      </c>
      <c r="F52" s="752">
        <f t="shared" si="52"/>
        <v>0.3295692378701427</v>
      </c>
      <c r="G52" s="752">
        <f t="shared" si="52"/>
        <v>0.34291290088004395</v>
      </c>
      <c r="H52" s="752">
        <f t="shared" si="52"/>
        <v>0.34804156784250284</v>
      </c>
      <c r="I52" s="1107">
        <f t="shared" ref="I52" si="53">I20/I25</f>
        <v>0.36559402278443559</v>
      </c>
      <c r="L52" s="892">
        <f t="shared" ref="L52:R52" si="54">C12/C13</f>
        <v>8.2367290771861057E-2</v>
      </c>
      <c r="M52" s="893">
        <f t="shared" si="54"/>
        <v>8.0502656275154127E-2</v>
      </c>
      <c r="N52" s="893">
        <f t="shared" si="54"/>
        <v>7.5309609656685997E-2</v>
      </c>
      <c r="O52" s="893">
        <f t="shared" si="54"/>
        <v>7.149029489292795E-2</v>
      </c>
      <c r="P52" s="893">
        <f t="shared" si="54"/>
        <v>7.2388808215691852E-2</v>
      </c>
      <c r="Q52" s="893">
        <f t="shared" si="54"/>
        <v>7.2654051966679539E-2</v>
      </c>
      <c r="R52" s="893">
        <f t="shared" si="54"/>
        <v>7.7193197112443407E-2</v>
      </c>
      <c r="S52" s="848"/>
      <c r="T52" s="893">
        <f t="shared" ref="T52:Z52" si="55">C18/C19</f>
        <v>0.10791075851316816</v>
      </c>
      <c r="U52" s="893">
        <f t="shared" si="55"/>
        <v>0.11007659335254023</v>
      </c>
      <c r="V52" s="893">
        <f t="shared" si="55"/>
        <v>0.11224752414091292</v>
      </c>
      <c r="W52" s="893">
        <f t="shared" si="55"/>
        <v>0.11057446192882103</v>
      </c>
      <c r="X52" s="893">
        <f t="shared" si="55"/>
        <v>0.11862081274331544</v>
      </c>
      <c r="Y52" s="893">
        <f t="shared" si="55"/>
        <v>0.1202473908841129</v>
      </c>
      <c r="Z52" s="893">
        <f t="shared" si="55"/>
        <v>0.10909397656690509</v>
      </c>
      <c r="AA52" s="893"/>
      <c r="AB52" s="893">
        <f t="shared" ref="AB52:AH52" si="56">C24/C25</f>
        <v>9.6767674912050267E-2</v>
      </c>
      <c r="AC52" s="893">
        <f t="shared" si="56"/>
        <v>9.7918151530722183E-2</v>
      </c>
      <c r="AD52" s="893">
        <f t="shared" si="56"/>
        <v>0.10293919940846301</v>
      </c>
      <c r="AE52" s="893">
        <f t="shared" si="56"/>
        <v>0.10281630736664518</v>
      </c>
      <c r="AF52" s="893">
        <f t="shared" si="56"/>
        <v>0.10252585963818768</v>
      </c>
      <c r="AG52" s="893">
        <f t="shared" si="56"/>
        <v>0.10209621474890665</v>
      </c>
      <c r="AH52" s="893">
        <f t="shared" si="56"/>
        <v>9.661932238496819E-2</v>
      </c>
      <c r="AI52" s="848"/>
      <c r="AJ52" s="893">
        <f t="shared" ref="AJ52:AP52" si="57">C30/C31</f>
        <v>7.4598285523434893E-2</v>
      </c>
      <c r="AK52" s="893">
        <f t="shared" si="57"/>
        <v>7.4370182506496602E-2</v>
      </c>
      <c r="AL52" s="893">
        <f t="shared" si="57"/>
        <v>7.1836324293266987E-2</v>
      </c>
      <c r="AM52" s="893">
        <f t="shared" si="57"/>
        <v>6.4175669826238291E-2</v>
      </c>
      <c r="AN52" s="893">
        <f t="shared" si="57"/>
        <v>6.7063554941862655E-2</v>
      </c>
      <c r="AO52" s="893">
        <f t="shared" si="57"/>
        <v>6.811448014644815E-2</v>
      </c>
      <c r="AP52" s="893">
        <f t="shared" si="57"/>
        <v>6.3027731049280569E-2</v>
      </c>
      <c r="AQ52" s="848"/>
      <c r="AR52" s="893">
        <f t="shared" ref="AR52:AX52" si="58">C36/C37</f>
        <v>5.7188771452801365E-2</v>
      </c>
      <c r="AS52" s="893">
        <f t="shared" si="58"/>
        <v>5.7902693615366277E-2</v>
      </c>
      <c r="AT52" s="893">
        <f t="shared" si="58"/>
        <v>5.9608329894495368E-2</v>
      </c>
      <c r="AU52" s="893">
        <f t="shared" si="58"/>
        <v>6.0031600033857178E-2</v>
      </c>
      <c r="AV52" s="893">
        <f t="shared" si="58"/>
        <v>5.9218750000000001E-2</v>
      </c>
      <c r="AW52" s="893">
        <f t="shared" si="58"/>
        <v>5.8511684430837152E-2</v>
      </c>
      <c r="AX52" s="894">
        <f t="shared" si="58"/>
        <v>5.7941105514200425E-2</v>
      </c>
      <c r="AY52" s="1086"/>
      <c r="AZ52" s="1086"/>
    </row>
    <row r="53" spans="1:52">
      <c r="A53" s="525"/>
      <c r="B53" s="774" t="s">
        <v>372</v>
      </c>
      <c r="C53" s="555">
        <f t="shared" ref="C53:H53" si="59">C21/C25</f>
        <v>0.12459928905381697</v>
      </c>
      <c r="D53" s="555">
        <f t="shared" si="59"/>
        <v>0.1319388042631483</v>
      </c>
      <c r="E53" s="555">
        <f t="shared" si="59"/>
        <v>0.1356669915638759</v>
      </c>
      <c r="F53" s="555">
        <f t="shared" si="59"/>
        <v>0.13898504707108808</v>
      </c>
      <c r="G53" s="555">
        <f t="shared" si="59"/>
        <v>0.14126708516984995</v>
      </c>
      <c r="H53" s="555">
        <f t="shared" si="59"/>
        <v>0.14755761505874612</v>
      </c>
      <c r="I53" s="1102">
        <f t="shared" ref="I53" si="60">I21/I25</f>
        <v>0.14786950732356857</v>
      </c>
    </row>
    <row r="54" spans="1:52">
      <c r="A54" s="525"/>
      <c r="B54" s="774" t="s">
        <v>373</v>
      </c>
      <c r="C54" s="555">
        <f t="shared" ref="C54:H54" si="61">C22/C25</f>
        <v>0.20806657542551141</v>
      </c>
      <c r="D54" s="555">
        <f t="shared" si="61"/>
        <v>0.22777676484725928</v>
      </c>
      <c r="E54" s="555">
        <f t="shared" si="61"/>
        <v>0.22350687325647833</v>
      </c>
      <c r="F54" s="555">
        <f t="shared" si="61"/>
        <v>0.21358257534159364</v>
      </c>
      <c r="G54" s="555">
        <f t="shared" si="61"/>
        <v>0.20939999703189233</v>
      </c>
      <c r="H54" s="555">
        <f t="shared" si="61"/>
        <v>0.20908679617773268</v>
      </c>
      <c r="I54" s="1102">
        <f t="shared" ref="I54" si="62">I22/I25</f>
        <v>0.19641958869655274</v>
      </c>
    </row>
    <row r="55" spans="1:52">
      <c r="A55" s="525"/>
      <c r="B55" s="774" t="s">
        <v>374</v>
      </c>
      <c r="C55" s="555">
        <f t="shared" ref="C55:H55" si="63">C23/C25</f>
        <v>0.21422994608198845</v>
      </c>
      <c r="D55" s="555">
        <f t="shared" si="63"/>
        <v>0.21049709104772008</v>
      </c>
      <c r="E55" s="555">
        <f t="shared" si="63"/>
        <v>0.21991899976472962</v>
      </c>
      <c r="F55" s="555">
        <f t="shared" si="63"/>
        <v>0.2150468323505304</v>
      </c>
      <c r="G55" s="555">
        <f t="shared" si="63"/>
        <v>0.20389415728002611</v>
      </c>
      <c r="H55" s="555">
        <f t="shared" si="63"/>
        <v>0.19321780617211171</v>
      </c>
      <c r="I55" s="1102">
        <f t="shared" ref="I55" si="64">I23/I25</f>
        <v>0.19349755881047492</v>
      </c>
    </row>
    <row r="56" spans="1:52">
      <c r="A56" s="525"/>
      <c r="B56" s="755" t="s">
        <v>375</v>
      </c>
      <c r="C56" s="895">
        <f t="shared" ref="C56:H56" si="65">C24/C25</f>
        <v>9.6767674912050267E-2</v>
      </c>
      <c r="D56" s="895">
        <f t="shared" si="65"/>
        <v>9.7918151530722183E-2</v>
      </c>
      <c r="E56" s="895">
        <f t="shared" si="65"/>
        <v>0.10293919940846301</v>
      </c>
      <c r="F56" s="895">
        <f t="shared" si="65"/>
        <v>0.10281630736664518</v>
      </c>
      <c r="G56" s="895">
        <f t="shared" si="65"/>
        <v>0.10252585963818768</v>
      </c>
      <c r="H56" s="895">
        <f t="shared" si="65"/>
        <v>0.10209621474890665</v>
      </c>
      <c r="I56" s="1105">
        <f t="shared" ref="I56" si="66">I24/I25</f>
        <v>9.661932238496819E-2</v>
      </c>
    </row>
    <row r="57" spans="1:52">
      <c r="A57" s="534" t="s">
        <v>43</v>
      </c>
      <c r="B57" s="534" t="s">
        <v>371</v>
      </c>
      <c r="C57" s="752">
        <f t="shared" ref="C57:H57" si="67">C26/C31</f>
        <v>0.26644153338033916</v>
      </c>
      <c r="D57" s="752">
        <f t="shared" si="67"/>
        <v>0.29683049133516448</v>
      </c>
      <c r="E57" s="752">
        <f t="shared" si="67"/>
        <v>0.32342910892098398</v>
      </c>
      <c r="F57" s="752">
        <f t="shared" si="67"/>
        <v>0.34879992226217083</v>
      </c>
      <c r="G57" s="752">
        <f t="shared" si="67"/>
        <v>0.34530600387833787</v>
      </c>
      <c r="H57" s="752">
        <f t="shared" si="67"/>
        <v>0.34005799300520445</v>
      </c>
      <c r="I57" s="1107">
        <f t="shared" ref="I57" si="68">I26/I31</f>
        <v>0.34803537809999913</v>
      </c>
    </row>
    <row r="58" spans="1:52">
      <c r="A58" s="525"/>
      <c r="B58" s="774" t="s">
        <v>372</v>
      </c>
      <c r="C58" s="555">
        <f t="shared" ref="C58:H58" si="69">C27/C31</f>
        <v>0.13999579421333233</v>
      </c>
      <c r="D58" s="555">
        <f t="shared" si="69"/>
        <v>0.15110991810694924</v>
      </c>
      <c r="E58" s="555">
        <f t="shared" si="69"/>
        <v>0.14651996830648187</v>
      </c>
      <c r="F58" s="555">
        <f t="shared" si="69"/>
        <v>0.15729543025238293</v>
      </c>
      <c r="G58" s="555">
        <f t="shared" si="69"/>
        <v>0.15546551372886344</v>
      </c>
      <c r="H58" s="555">
        <f t="shared" si="69"/>
        <v>0.15322740557457043</v>
      </c>
      <c r="I58" s="1102">
        <f t="shared" ref="I58" si="70">I27/I31</f>
        <v>0.15406082818623981</v>
      </c>
    </row>
    <row r="59" spans="1:52">
      <c r="A59" s="525"/>
      <c r="B59" s="774" t="s">
        <v>373</v>
      </c>
      <c r="C59" s="555">
        <f t="shared" ref="C59:H59" si="71">C28/C31</f>
        <v>0.26630546381167974</v>
      </c>
      <c r="D59" s="555">
        <f t="shared" si="71"/>
        <v>0.21976216536426094</v>
      </c>
      <c r="E59" s="555">
        <f t="shared" si="71"/>
        <v>0.22102290366375216</v>
      </c>
      <c r="F59" s="555">
        <f t="shared" si="71"/>
        <v>0.2072375685727158</v>
      </c>
      <c r="G59" s="555">
        <f t="shared" si="71"/>
        <v>0.21324444846866017</v>
      </c>
      <c r="H59" s="555">
        <f t="shared" si="71"/>
        <v>0.225770390231426</v>
      </c>
      <c r="I59" s="1102">
        <f t="shared" ref="I59" si="72">I28/I31</f>
        <v>0.22341663462128622</v>
      </c>
    </row>
    <row r="60" spans="1:52">
      <c r="A60" s="525"/>
      <c r="B60" s="774" t="s">
        <v>374</v>
      </c>
      <c r="C60" s="555">
        <f t="shared" ref="C60:H60" si="73">C29/C31</f>
        <v>0.25265892307121385</v>
      </c>
      <c r="D60" s="555">
        <f t="shared" si="73"/>
        <v>0.25792724268712874</v>
      </c>
      <c r="E60" s="555">
        <f t="shared" si="73"/>
        <v>0.237191694815515</v>
      </c>
      <c r="F60" s="555">
        <f t="shared" si="73"/>
        <v>0.22249140908649218</v>
      </c>
      <c r="G60" s="555">
        <f t="shared" si="73"/>
        <v>0.21892047898227585</v>
      </c>
      <c r="H60" s="555">
        <f t="shared" si="73"/>
        <v>0.21282973104235098</v>
      </c>
      <c r="I60" s="1102">
        <f t="shared" ref="I60" si="74">I29/I31</f>
        <v>0.21145942804319426</v>
      </c>
    </row>
    <row r="61" spans="1:52">
      <c r="A61" s="525"/>
      <c r="B61" s="755" t="s">
        <v>375</v>
      </c>
      <c r="C61" s="895">
        <f t="shared" ref="C61:H61" si="75">C30/C31</f>
        <v>7.4598285523434893E-2</v>
      </c>
      <c r="D61" s="895">
        <f t="shared" si="75"/>
        <v>7.4370182506496602E-2</v>
      </c>
      <c r="E61" s="895">
        <f t="shared" si="75"/>
        <v>7.1836324293266987E-2</v>
      </c>
      <c r="F61" s="895">
        <f t="shared" si="75"/>
        <v>6.4175669826238291E-2</v>
      </c>
      <c r="G61" s="895">
        <f t="shared" si="75"/>
        <v>6.7063554941862655E-2</v>
      </c>
      <c r="H61" s="895">
        <f t="shared" si="75"/>
        <v>6.811448014644815E-2</v>
      </c>
      <c r="I61" s="1105">
        <f t="shared" ref="I61" si="76">I30/I31</f>
        <v>6.3027731049280569E-2</v>
      </c>
    </row>
    <row r="62" spans="1:52">
      <c r="A62" s="525" t="s">
        <v>44</v>
      </c>
      <c r="B62" s="525" t="s">
        <v>371</v>
      </c>
      <c r="C62" s="752">
        <f t="shared" ref="C62:H62" si="77">C32/C37</f>
        <v>0.49416760985847175</v>
      </c>
      <c r="D62" s="752">
        <f t="shared" si="77"/>
        <v>0.48428306171352581</v>
      </c>
      <c r="E62" s="752">
        <f t="shared" si="77"/>
        <v>0.47636624761582924</v>
      </c>
      <c r="F62" s="752">
        <f t="shared" si="77"/>
        <v>0.47656236774539401</v>
      </c>
      <c r="G62" s="752">
        <f t="shared" si="77"/>
        <v>0.48085227272727271</v>
      </c>
      <c r="H62" s="752">
        <f t="shared" si="77"/>
        <v>0.47925099877593075</v>
      </c>
      <c r="I62" s="1107">
        <f t="shared" ref="I62" si="78">I32/I37</f>
        <v>0.48021590575487083</v>
      </c>
    </row>
    <row r="63" spans="1:52">
      <c r="A63" s="525"/>
      <c r="B63" s="774" t="s">
        <v>372</v>
      </c>
      <c r="C63" s="555">
        <f t="shared" ref="C63:H63" si="79">C33/C37</f>
        <v>0.16324422783114281</v>
      </c>
      <c r="D63" s="555">
        <f t="shared" si="79"/>
        <v>0.1667607612882181</v>
      </c>
      <c r="E63" s="555">
        <f t="shared" si="79"/>
        <v>0.16762791664906632</v>
      </c>
      <c r="F63" s="555">
        <f t="shared" si="79"/>
        <v>0.17443218689162882</v>
      </c>
      <c r="G63" s="555">
        <f t="shared" si="79"/>
        <v>0.17211931818181819</v>
      </c>
      <c r="H63" s="555">
        <f t="shared" si="79"/>
        <v>0.17273760006105668</v>
      </c>
      <c r="I63" s="1102">
        <f t="shared" ref="I63" si="80">I33/I37</f>
        <v>0.17342510587462467</v>
      </c>
    </row>
    <row r="64" spans="1:52">
      <c r="A64" s="525"/>
      <c r="B64" s="774" t="s">
        <v>373</v>
      </c>
      <c r="C64" s="555">
        <f t="shared" ref="C64:H64" si="81">C34/C37</f>
        <v>0.13757181181921074</v>
      </c>
      <c r="D64" s="555">
        <f t="shared" si="81"/>
        <v>0.13679162432408698</v>
      </c>
      <c r="E64" s="555">
        <f t="shared" si="81"/>
        <v>0.1353461637190139</v>
      </c>
      <c r="F64" s="555">
        <f t="shared" si="81"/>
        <v>0.12720142200152357</v>
      </c>
      <c r="G64" s="555">
        <f t="shared" si="81"/>
        <v>0.12742613636363637</v>
      </c>
      <c r="H64" s="555">
        <f t="shared" si="81"/>
        <v>0.12942550936838615</v>
      </c>
      <c r="I64" s="1102">
        <f t="shared" ref="I64" si="82">I34/I37</f>
        <v>0.12446263359677245</v>
      </c>
    </row>
    <row r="65" spans="1:9">
      <c r="A65" s="525"/>
      <c r="B65" s="774" t="s">
        <v>374</v>
      </c>
      <c r="C65" s="555">
        <f t="shared" ref="C65:H65" si="83">C35/C37</f>
        <v>0.14782757903837332</v>
      </c>
      <c r="D65" s="555">
        <f t="shared" si="83"/>
        <v>0.15426185905880285</v>
      </c>
      <c r="E65" s="555">
        <f t="shared" si="83"/>
        <v>0.16105134212159514</v>
      </c>
      <c r="F65" s="555">
        <f t="shared" si="83"/>
        <v>0.16177242332759642</v>
      </c>
      <c r="G65" s="555">
        <f t="shared" si="83"/>
        <v>0.16038352272727271</v>
      </c>
      <c r="H65" s="555">
        <f t="shared" si="83"/>
        <v>0.16007420736378927</v>
      </c>
      <c r="I65" s="1102">
        <f t="shared" ref="I65" si="84">I35/I37</f>
        <v>0.16395524925953162</v>
      </c>
    </row>
    <row r="66" spans="1:9">
      <c r="A66" s="526"/>
      <c r="B66" s="865" t="s">
        <v>375</v>
      </c>
      <c r="C66" s="550">
        <f t="shared" ref="C66:H66" si="85">C36/C37</f>
        <v>5.7188771452801365E-2</v>
      </c>
      <c r="D66" s="550">
        <f t="shared" si="85"/>
        <v>5.7902693615366277E-2</v>
      </c>
      <c r="E66" s="550">
        <f t="shared" si="85"/>
        <v>5.9608329894495368E-2</v>
      </c>
      <c r="F66" s="550">
        <f t="shared" si="85"/>
        <v>6.0031600033857178E-2</v>
      </c>
      <c r="G66" s="550">
        <f t="shared" si="85"/>
        <v>5.9218750000000001E-2</v>
      </c>
      <c r="H66" s="550">
        <f t="shared" si="85"/>
        <v>5.8511684430837152E-2</v>
      </c>
      <c r="I66" s="1232">
        <f t="shared" ref="I66" si="86">I36/I37</f>
        <v>5.7941105514200425E-2</v>
      </c>
    </row>
  </sheetData>
  <hyperlinks>
    <hyperlink ref="J1" location="Content!A1" display="ToC" xr:uid="{861BF168-3A30-43C3-A234-44632824158A}"/>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43-C771-4370-AB66-6A7E5E212820}">
  <dimension ref="A1:CT179"/>
  <sheetViews>
    <sheetView zoomScale="80" zoomScaleNormal="80" workbookViewId="0">
      <pane xSplit="1" ySplit="5" topLeftCell="B6" activePane="bottomRight" state="frozenSplit"/>
      <selection pane="topRight" activeCell="B1" sqref="B1"/>
      <selection pane="bottomLeft" activeCell="AB102" sqref="AB102"/>
      <selection pane="bottomRight" activeCell="K38" sqref="K38"/>
    </sheetView>
  </sheetViews>
  <sheetFormatPr defaultRowHeight="15"/>
  <cols>
    <col min="1" max="1" width="23.7109375" customWidth="1"/>
    <col min="2" max="2" width="9.140625" customWidth="1"/>
    <col min="3" max="3" width="39.7109375" customWidth="1"/>
    <col min="4" max="4" width="9.140625" customWidth="1"/>
    <col min="5" max="5" width="39.7109375" customWidth="1"/>
    <col min="6" max="6" width="9.140625" customWidth="1"/>
    <col min="7" max="7" width="39.7109375" customWidth="1"/>
    <col min="8" max="8" width="9.140625" customWidth="1"/>
    <col min="9" max="9" width="35.85546875" customWidth="1"/>
    <col min="10" max="10" width="9.140625" customWidth="1"/>
    <col min="11" max="11" width="35.7109375" customWidth="1"/>
    <col min="12" max="12" width="9.140625" customWidth="1"/>
    <col min="13" max="13" width="35.7109375" customWidth="1"/>
    <col min="15" max="15" width="35.7109375" customWidth="1"/>
    <col min="17" max="17" width="10.5703125" style="1086" customWidth="1"/>
    <col min="18" max="18" width="15.28515625" style="1086" customWidth="1"/>
    <col min="19" max="29" width="7.7109375" style="1086" customWidth="1"/>
    <col min="30" max="30" width="15.140625" style="1086" customWidth="1"/>
    <col min="31" max="41" width="7.7109375" style="1086" customWidth="1"/>
    <col min="42" max="42" width="15.140625" style="1086" customWidth="1"/>
    <col min="43" max="53" width="7.7109375" style="1086" customWidth="1"/>
    <col min="54" max="54" width="15" style="1086" customWidth="1"/>
    <col min="55" max="65" width="7.7109375" style="1086" customWidth="1"/>
    <col min="66" max="66" width="15" style="1086" customWidth="1"/>
    <col min="67" max="81" width="7.7109375" style="1086" customWidth="1"/>
    <col min="82" max="92" width="9.140625" style="1086"/>
  </cols>
  <sheetData>
    <row r="1" spans="1:14" ht="21">
      <c r="A1" s="496" t="s">
        <v>32</v>
      </c>
      <c r="N1" s="888" t="s">
        <v>458</v>
      </c>
    </row>
    <row r="2" spans="1:14" ht="18.75">
      <c r="A2" s="495" t="s">
        <v>366</v>
      </c>
    </row>
    <row r="3" spans="1:14" ht="18.75">
      <c r="A3" s="495" t="s">
        <v>457</v>
      </c>
    </row>
    <row r="4" spans="1:14" ht="18.75">
      <c r="A4" s="495" t="s">
        <v>456</v>
      </c>
    </row>
    <row r="45" spans="1:17" ht="15.75">
      <c r="A45" s="781" t="s">
        <v>34</v>
      </c>
      <c r="B45" s="780" t="s">
        <v>404</v>
      </c>
      <c r="C45" s="1344">
        <v>2016</v>
      </c>
      <c r="D45" s="1345"/>
      <c r="E45" s="1344">
        <f>C45+1</f>
        <v>2017</v>
      </c>
      <c r="F45" s="1345"/>
      <c r="G45" s="1344">
        <f>E45+1</f>
        <v>2018</v>
      </c>
      <c r="H45" s="1345"/>
      <c r="I45" s="1344">
        <f>G45+1</f>
        <v>2019</v>
      </c>
      <c r="J45" s="1345"/>
      <c r="K45" s="1344">
        <f>I45+1</f>
        <v>2020</v>
      </c>
      <c r="L45" s="1345"/>
      <c r="M45" s="1345">
        <f>K45+1</f>
        <v>2021</v>
      </c>
      <c r="N45" s="1358"/>
      <c r="O45" s="1342">
        <f>M45+1</f>
        <v>2022</v>
      </c>
      <c r="P45" s="1343"/>
    </row>
    <row r="46" spans="1:17">
      <c r="A46" s="497" t="s">
        <v>36</v>
      </c>
      <c r="B46" s="782">
        <v>1</v>
      </c>
      <c r="C46" s="789" t="s">
        <v>376</v>
      </c>
      <c r="D46" s="778">
        <v>8.0493186488508409E-2</v>
      </c>
      <c r="E46" s="789" t="s">
        <v>376</v>
      </c>
      <c r="F46" s="778">
        <v>8.0493186488508409E-2</v>
      </c>
      <c r="G46" s="789" t="s">
        <v>378</v>
      </c>
      <c r="H46" s="778">
        <v>8.5366044834613575E-2</v>
      </c>
      <c r="I46" s="786" t="s">
        <v>378</v>
      </c>
      <c r="J46" s="778">
        <v>8.6790452469301657E-2</v>
      </c>
      <c r="K46" s="786" t="s">
        <v>378</v>
      </c>
      <c r="L46" s="778">
        <v>8.8279764667135732E-2</v>
      </c>
      <c r="M46" s="786" t="s">
        <v>378</v>
      </c>
      <c r="N46" s="778">
        <v>8.8238539195674953E-2</v>
      </c>
      <c r="O46" s="1089" t="s">
        <v>378</v>
      </c>
      <c r="P46" s="1150">
        <v>8.5999999999999993E-2</v>
      </c>
      <c r="Q46" s="1135">
        <v>1</v>
      </c>
    </row>
    <row r="47" spans="1:17">
      <c r="A47" s="498"/>
      <c r="B47" s="783">
        <v>2</v>
      </c>
      <c r="C47" s="498" t="s">
        <v>379</v>
      </c>
      <c r="D47" s="779">
        <v>7.3637060957016637E-2</v>
      </c>
      <c r="E47" s="498" t="s">
        <v>379</v>
      </c>
      <c r="F47" s="779">
        <v>7.3637060957016637E-2</v>
      </c>
      <c r="G47" s="498" t="s">
        <v>376</v>
      </c>
      <c r="H47" s="779">
        <v>7.3240319799341591E-2</v>
      </c>
      <c r="I47" s="1131" t="s">
        <v>376</v>
      </c>
      <c r="J47" s="779">
        <v>7.6065092839351978E-2</v>
      </c>
      <c r="K47" s="1131" t="s">
        <v>376</v>
      </c>
      <c r="L47" s="779">
        <v>7.8436802946151893E-2</v>
      </c>
      <c r="M47" s="1131" t="s">
        <v>376</v>
      </c>
      <c r="N47" s="779">
        <v>7.8005185634688584E-2</v>
      </c>
      <c r="O47" s="1240" t="s">
        <v>376</v>
      </c>
      <c r="P47" s="1150">
        <v>0.08</v>
      </c>
      <c r="Q47" s="1135">
        <f t="shared" ref="Q47:Q95" si="0">Q46+1</f>
        <v>2</v>
      </c>
    </row>
    <row r="48" spans="1:17">
      <c r="A48" s="498"/>
      <c r="B48" s="783">
        <v>3</v>
      </c>
      <c r="C48" s="498" t="s">
        <v>378</v>
      </c>
      <c r="D48" s="779">
        <v>6.9025274860557387E-2</v>
      </c>
      <c r="E48" s="498" t="s">
        <v>378</v>
      </c>
      <c r="F48" s="779">
        <v>6.9025274860557387E-2</v>
      </c>
      <c r="G48" s="498" t="s">
        <v>379</v>
      </c>
      <c r="H48" s="779">
        <v>6.9360401316820822E-2</v>
      </c>
      <c r="I48" s="1131" t="s">
        <v>379</v>
      </c>
      <c r="J48" s="779">
        <v>6.5535795978534761E-2</v>
      </c>
      <c r="K48" s="1131" t="s">
        <v>379</v>
      </c>
      <c r="L48" s="779">
        <v>6.8563900657195462E-2</v>
      </c>
      <c r="M48" s="1131" t="s">
        <v>381</v>
      </c>
      <c r="N48" s="779">
        <v>6.6907559625604532E-2</v>
      </c>
      <c r="O48" s="1240" t="s">
        <v>381</v>
      </c>
      <c r="P48" s="1150">
        <v>7.0000000000000007E-2</v>
      </c>
      <c r="Q48" s="1135">
        <f t="shared" si="0"/>
        <v>3</v>
      </c>
    </row>
    <row r="49" spans="1:17">
      <c r="A49" s="498"/>
      <c r="B49" s="783">
        <v>4</v>
      </c>
      <c r="C49" s="498" t="s">
        <v>381</v>
      </c>
      <c r="D49" s="779">
        <v>5.8939952082879575E-2</v>
      </c>
      <c r="E49" s="498" t="s">
        <v>381</v>
      </c>
      <c r="F49" s="779">
        <v>5.8939952082879575E-2</v>
      </c>
      <c r="G49" s="498" t="s">
        <v>381</v>
      </c>
      <c r="H49" s="779">
        <v>6.2541150650572183E-2</v>
      </c>
      <c r="I49" s="1131" t="s">
        <v>381</v>
      </c>
      <c r="J49" s="779">
        <v>6.527437895302482E-2</v>
      </c>
      <c r="K49" s="1131" t="s">
        <v>381</v>
      </c>
      <c r="L49" s="779">
        <v>6.4821329660623664E-2</v>
      </c>
      <c r="M49" s="1131" t="s">
        <v>379</v>
      </c>
      <c r="N49" s="779">
        <v>6.6355896360861324E-2</v>
      </c>
      <c r="O49" s="1240" t="s">
        <v>379</v>
      </c>
      <c r="P49" s="1150">
        <v>6.9000000000000006E-2</v>
      </c>
      <c r="Q49" s="1135">
        <f t="shared" si="0"/>
        <v>4</v>
      </c>
    </row>
    <row r="50" spans="1:17">
      <c r="A50" s="498"/>
      <c r="B50" s="783">
        <v>5</v>
      </c>
      <c r="C50" s="498" t="s">
        <v>382</v>
      </c>
      <c r="D50" s="779">
        <v>4.5218231233250313E-2</v>
      </c>
      <c r="E50" s="498" t="s">
        <v>382</v>
      </c>
      <c r="F50" s="779">
        <v>4.5218231233250313E-2</v>
      </c>
      <c r="G50" s="498" t="s">
        <v>380</v>
      </c>
      <c r="H50" s="779">
        <v>5.6960338611067564E-2</v>
      </c>
      <c r="I50" s="1131" t="s">
        <v>380</v>
      </c>
      <c r="J50" s="779">
        <v>6.1520140003340329E-2</v>
      </c>
      <c r="K50" s="1131" t="s">
        <v>380</v>
      </c>
      <c r="L50" s="779">
        <v>5.9185017739786523E-2</v>
      </c>
      <c r="M50" s="1131" t="s">
        <v>380</v>
      </c>
      <c r="N50" s="779">
        <v>6.012210146926316E-2</v>
      </c>
      <c r="O50" s="1240" t="s">
        <v>380</v>
      </c>
      <c r="P50" s="1150">
        <v>6.3E-2</v>
      </c>
      <c r="Q50" s="1135">
        <f t="shared" si="0"/>
        <v>5</v>
      </c>
    </row>
    <row r="51" spans="1:17">
      <c r="A51" s="498"/>
      <c r="B51" s="783">
        <v>6</v>
      </c>
      <c r="C51" s="498" t="s">
        <v>380</v>
      </c>
      <c r="D51" s="779">
        <v>4.3409501983920303E-2</v>
      </c>
      <c r="E51" s="498" t="s">
        <v>380</v>
      </c>
      <c r="F51" s="779">
        <v>4.3409501983920303E-2</v>
      </c>
      <c r="G51" s="498" t="s">
        <v>382</v>
      </c>
      <c r="H51" s="779">
        <v>4.6574698228562472E-2</v>
      </c>
      <c r="I51" s="1131" t="s">
        <v>382</v>
      </c>
      <c r="J51" s="779">
        <v>5.0308254242580473E-2</v>
      </c>
      <c r="K51" s="1131" t="s">
        <v>382</v>
      </c>
      <c r="L51" s="779">
        <v>5.2560667075854432E-2</v>
      </c>
      <c r="M51" s="1131" t="s">
        <v>382</v>
      </c>
      <c r="N51" s="779">
        <v>5.6094959636637798E-2</v>
      </c>
      <c r="O51" s="1240" t="s">
        <v>382</v>
      </c>
      <c r="P51" s="1150">
        <v>6.3E-2</v>
      </c>
      <c r="Q51" s="1135">
        <f t="shared" si="0"/>
        <v>6</v>
      </c>
    </row>
    <row r="52" spans="1:17">
      <c r="A52" s="498"/>
      <c r="B52" s="783">
        <v>7</v>
      </c>
      <c r="C52" s="498" t="s">
        <v>384</v>
      </c>
      <c r="D52" s="779">
        <v>4.2358355666246843E-2</v>
      </c>
      <c r="E52" s="498" t="s">
        <v>384</v>
      </c>
      <c r="F52" s="779">
        <v>4.2358355666246843E-2</v>
      </c>
      <c r="G52" s="498" t="s">
        <v>384</v>
      </c>
      <c r="H52" s="779">
        <v>4.1957987145320584E-2</v>
      </c>
      <c r="I52" s="1131" t="s">
        <v>384</v>
      </c>
      <c r="J52" s="779">
        <v>4.445541750477449E-2</v>
      </c>
      <c r="K52" s="1131" t="s">
        <v>384</v>
      </c>
      <c r="L52" s="779">
        <v>4.3630892678034106E-2</v>
      </c>
      <c r="M52" s="1131" t="s">
        <v>384</v>
      </c>
      <c r="N52" s="779">
        <v>4.1393133631231496E-2</v>
      </c>
      <c r="O52" s="1240" t="s">
        <v>387</v>
      </c>
      <c r="P52" s="1150">
        <v>3.7999999999999999E-2</v>
      </c>
      <c r="Q52" s="1135">
        <f t="shared" si="0"/>
        <v>7</v>
      </c>
    </row>
    <row r="53" spans="1:17">
      <c r="A53" s="498"/>
      <c r="B53" s="783">
        <v>8</v>
      </c>
      <c r="C53" s="498" t="s">
        <v>383</v>
      </c>
      <c r="D53" s="779">
        <v>4.2216308866561233E-2</v>
      </c>
      <c r="E53" s="498" t="s">
        <v>383</v>
      </c>
      <c r="F53" s="779">
        <v>4.2216308866561233E-2</v>
      </c>
      <c r="G53" s="498" t="s">
        <v>387</v>
      </c>
      <c r="H53" s="779">
        <v>3.6714218529550084E-2</v>
      </c>
      <c r="I53" s="1131" t="s">
        <v>387</v>
      </c>
      <c r="J53" s="779">
        <v>3.2415711163233149E-2</v>
      </c>
      <c r="K53" s="1131" t="s">
        <v>387</v>
      </c>
      <c r="L53" s="779">
        <v>3.5793949011212745E-2</v>
      </c>
      <c r="M53" s="1131" t="s">
        <v>387</v>
      </c>
      <c r="N53" s="779">
        <v>3.8432540777109656E-2</v>
      </c>
      <c r="O53" s="1240" t="s">
        <v>384</v>
      </c>
      <c r="P53" s="1150">
        <v>3.4000000000000002E-2</v>
      </c>
      <c r="Q53" s="1135">
        <f t="shared" si="0"/>
        <v>8</v>
      </c>
    </row>
    <row r="54" spans="1:17">
      <c r="A54" s="498"/>
      <c r="B54" s="783">
        <v>9</v>
      </c>
      <c r="C54" s="498" t="s">
        <v>395</v>
      </c>
      <c r="D54" s="779">
        <v>3.8731427380941111E-2</v>
      </c>
      <c r="E54" s="498" t="s">
        <v>395</v>
      </c>
      <c r="F54" s="779">
        <v>3.8731427380941111E-2</v>
      </c>
      <c r="G54" s="498" t="s">
        <v>383</v>
      </c>
      <c r="H54" s="779">
        <v>3.4221664837748862E-2</v>
      </c>
      <c r="I54" s="1131" t="s">
        <v>403</v>
      </c>
      <c r="J54" s="779">
        <v>3.1348258309067539E-2</v>
      </c>
      <c r="K54" s="1131" t="s">
        <v>395</v>
      </c>
      <c r="L54" s="779">
        <v>3.079387415979281E-2</v>
      </c>
      <c r="M54" s="1131" t="s">
        <v>383</v>
      </c>
      <c r="N54" s="779">
        <v>3.039664588735036E-2</v>
      </c>
      <c r="O54" s="1240" t="s">
        <v>395</v>
      </c>
      <c r="P54" s="1150">
        <v>3.3000000000000002E-2</v>
      </c>
      <c r="Q54" s="1135">
        <f t="shared" si="0"/>
        <v>9</v>
      </c>
    </row>
    <row r="55" spans="1:17">
      <c r="A55" s="498"/>
      <c r="B55" s="783">
        <v>10</v>
      </c>
      <c r="C55" s="498" t="s">
        <v>387</v>
      </c>
      <c r="D55" s="779">
        <v>3.6487087945908582E-2</v>
      </c>
      <c r="E55" s="498" t="s">
        <v>387</v>
      </c>
      <c r="F55" s="779">
        <v>3.6487087945908582E-2</v>
      </c>
      <c r="G55" s="498" t="s">
        <v>403</v>
      </c>
      <c r="H55" s="779">
        <v>3.3202696347389871E-2</v>
      </c>
      <c r="I55" s="1131" t="s">
        <v>395</v>
      </c>
      <c r="J55" s="779">
        <v>3.0396990799573018E-2</v>
      </c>
      <c r="K55" s="1131" t="s">
        <v>416</v>
      </c>
      <c r="L55" s="779">
        <v>3.008278567044417E-2</v>
      </c>
      <c r="M55" s="1131" t="s">
        <v>416</v>
      </c>
      <c r="N55" s="779">
        <v>2.8778433644103638E-2</v>
      </c>
      <c r="O55" s="1240" t="s">
        <v>416</v>
      </c>
      <c r="P55" s="1150">
        <v>2.9000000000000001E-2</v>
      </c>
      <c r="Q55" s="1135">
        <f t="shared" si="0"/>
        <v>10</v>
      </c>
    </row>
    <row r="56" spans="1:17">
      <c r="A56" s="497" t="s">
        <v>38</v>
      </c>
      <c r="B56" s="782">
        <v>1</v>
      </c>
      <c r="C56" s="789" t="s">
        <v>379</v>
      </c>
      <c r="D56" s="778">
        <v>0.10094662557595591</v>
      </c>
      <c r="E56" s="789" t="s">
        <v>379</v>
      </c>
      <c r="F56" s="778">
        <v>0.10094662557595591</v>
      </c>
      <c r="G56" s="789" t="s">
        <v>379</v>
      </c>
      <c r="H56" s="778">
        <v>9.5230496818958593E-2</v>
      </c>
      <c r="I56" s="786" t="s">
        <v>379</v>
      </c>
      <c r="J56" s="1132">
        <v>9.338623160987336E-2</v>
      </c>
      <c r="K56" s="786" t="s">
        <v>379</v>
      </c>
      <c r="L56" s="1132">
        <v>9.1988577420326387E-2</v>
      </c>
      <c r="M56" s="786" t="s">
        <v>379</v>
      </c>
      <c r="N56" s="1132">
        <v>9.0062010621083613E-2</v>
      </c>
      <c r="O56" s="1152" t="s">
        <v>379</v>
      </c>
      <c r="P56" s="1146">
        <v>9.8000000000000004E-2</v>
      </c>
      <c r="Q56" s="1135">
        <f t="shared" si="0"/>
        <v>11</v>
      </c>
    </row>
    <row r="57" spans="1:17">
      <c r="A57" s="498"/>
      <c r="B57" s="783">
        <v>2</v>
      </c>
      <c r="C57" s="498" t="s">
        <v>380</v>
      </c>
      <c r="D57" s="779">
        <v>6.4160735617414699E-2</v>
      </c>
      <c r="E57" s="498" t="s">
        <v>380</v>
      </c>
      <c r="F57" s="779">
        <v>6.4160735617414699E-2</v>
      </c>
      <c r="G57" s="498" t="s">
        <v>380</v>
      </c>
      <c r="H57" s="779">
        <v>6.1675142580658447E-2</v>
      </c>
      <c r="I57" s="1131" t="s">
        <v>380</v>
      </c>
      <c r="J57" s="1133">
        <v>6.0311825324400721E-2</v>
      </c>
      <c r="K57" s="1131" t="s">
        <v>389</v>
      </c>
      <c r="L57" s="1133">
        <v>6.4965921893649539E-2</v>
      </c>
      <c r="M57" t="s">
        <v>389</v>
      </c>
      <c r="N57" s="1133">
        <v>6.2689371314386247E-2</v>
      </c>
      <c r="O57" s="1241" t="s">
        <v>392</v>
      </c>
      <c r="P57" s="1150">
        <v>6.4000000000000001E-2</v>
      </c>
      <c r="Q57" s="1135">
        <f t="shared" si="0"/>
        <v>12</v>
      </c>
    </row>
    <row r="58" spans="1:17">
      <c r="A58" s="498"/>
      <c r="B58" s="783">
        <v>3</v>
      </c>
      <c r="C58" s="498" t="s">
        <v>389</v>
      </c>
      <c r="D58" s="779">
        <v>5.9206761898069608E-2</v>
      </c>
      <c r="E58" s="498" t="s">
        <v>389</v>
      </c>
      <c r="F58" s="779">
        <v>5.9206761898069608E-2</v>
      </c>
      <c r="G58" s="498" t="s">
        <v>389</v>
      </c>
      <c r="H58" s="779">
        <v>5.8509543124215031E-2</v>
      </c>
      <c r="I58" s="1131" t="s">
        <v>389</v>
      </c>
      <c r="J58" s="1133">
        <v>5.8776068908722653E-2</v>
      </c>
      <c r="K58" s="1131" t="s">
        <v>380</v>
      </c>
      <c r="L58" s="1133">
        <v>5.9310406371657722E-2</v>
      </c>
      <c r="M58" t="s">
        <v>380</v>
      </c>
      <c r="N58" s="1133">
        <v>5.9355350180819062E-2</v>
      </c>
      <c r="O58" s="1241" t="s">
        <v>378</v>
      </c>
      <c r="P58" s="1150">
        <v>6.3E-2</v>
      </c>
      <c r="Q58" s="1135">
        <f t="shared" si="0"/>
        <v>13</v>
      </c>
    </row>
    <row r="59" spans="1:17">
      <c r="A59" s="498"/>
      <c r="B59" s="783">
        <v>4</v>
      </c>
      <c r="C59" s="498" t="s">
        <v>388</v>
      </c>
      <c r="D59" s="779">
        <v>5.0232390053906464E-2</v>
      </c>
      <c r="E59" s="498" t="s">
        <v>388</v>
      </c>
      <c r="F59" s="779">
        <v>5.0232390053906464E-2</v>
      </c>
      <c r="G59" s="498" t="s">
        <v>382</v>
      </c>
      <c r="H59" s="779">
        <v>5.1329037040087296E-2</v>
      </c>
      <c r="I59" s="1131" t="s">
        <v>381</v>
      </c>
      <c r="J59" s="1133">
        <v>5.2015402078835496E-2</v>
      </c>
      <c r="K59" s="1131" t="s">
        <v>382</v>
      </c>
      <c r="L59" s="1133">
        <v>5.2355349314533672E-2</v>
      </c>
      <c r="M59" t="s">
        <v>376</v>
      </c>
      <c r="N59" s="1133">
        <v>5.4071958384465851E-2</v>
      </c>
      <c r="O59" s="1089" t="s">
        <v>389</v>
      </c>
      <c r="P59" s="1150">
        <v>5.8999999999999997E-2</v>
      </c>
      <c r="Q59" s="1135">
        <f t="shared" si="0"/>
        <v>14</v>
      </c>
    </row>
    <row r="60" spans="1:17">
      <c r="A60" s="498"/>
      <c r="B60" s="783">
        <v>5</v>
      </c>
      <c r="C60" s="498" t="s">
        <v>381</v>
      </c>
      <c r="D60" s="779">
        <v>5.004667877972635E-2</v>
      </c>
      <c r="E60" s="498" t="s">
        <v>381</v>
      </c>
      <c r="F60" s="779">
        <v>5.004667877972635E-2</v>
      </c>
      <c r="G60" s="498" t="s">
        <v>381</v>
      </c>
      <c r="H60" s="779">
        <v>4.9584096851901419E-2</v>
      </c>
      <c r="I60" s="1131" t="s">
        <v>382</v>
      </c>
      <c r="J60" s="1133">
        <v>5.1815086024616618E-2</v>
      </c>
      <c r="K60" s="1131" t="s">
        <v>376</v>
      </c>
      <c r="L60" s="1133">
        <v>5.1602396064564349E-2</v>
      </c>
      <c r="M60" t="s">
        <v>382</v>
      </c>
      <c r="N60" s="1133">
        <v>5.1986837675524811E-2</v>
      </c>
      <c r="O60" s="1089" t="s">
        <v>380</v>
      </c>
      <c r="P60" s="1150">
        <v>5.5E-2</v>
      </c>
      <c r="Q60" s="1135">
        <f t="shared" si="0"/>
        <v>15</v>
      </c>
    </row>
    <row r="61" spans="1:17">
      <c r="A61" s="498"/>
      <c r="B61" s="783">
        <v>6</v>
      </c>
      <c r="C61" s="498" t="s">
        <v>376</v>
      </c>
      <c r="D61" s="779">
        <v>4.828493128682855E-2</v>
      </c>
      <c r="E61" s="498" t="s">
        <v>376</v>
      </c>
      <c r="F61" s="779">
        <v>4.828493128682855E-2</v>
      </c>
      <c r="G61" s="498" t="s">
        <v>376</v>
      </c>
      <c r="H61" s="779">
        <v>4.8966418909180756E-2</v>
      </c>
      <c r="I61" s="1131" t="s">
        <v>376</v>
      </c>
      <c r="J61" s="1133">
        <v>4.9622738097887781E-2</v>
      </c>
      <c r="K61" s="1131" t="s">
        <v>381</v>
      </c>
      <c r="L61" s="1133">
        <v>4.8802525460974709E-2</v>
      </c>
      <c r="M61" t="s">
        <v>381</v>
      </c>
      <c r="N61" s="1133">
        <v>4.6708875881017797E-2</v>
      </c>
      <c r="O61" s="1089" t="s">
        <v>376</v>
      </c>
      <c r="P61" s="1150">
        <v>4.8000000000000001E-2</v>
      </c>
      <c r="Q61" s="1135">
        <f t="shared" si="0"/>
        <v>16</v>
      </c>
    </row>
    <row r="62" spans="1:17">
      <c r="A62" s="498"/>
      <c r="B62" s="783">
        <v>7</v>
      </c>
      <c r="C62" s="498" t="s">
        <v>382</v>
      </c>
      <c r="D62" s="779">
        <v>4.7366413363180981E-2</v>
      </c>
      <c r="E62" s="498" t="s">
        <v>382</v>
      </c>
      <c r="F62" s="779">
        <v>4.7366413363180981E-2</v>
      </c>
      <c r="G62" s="498" t="s">
        <v>388</v>
      </c>
      <c r="H62" s="779">
        <v>4.8312709753134717E-2</v>
      </c>
      <c r="I62" s="1131" t="s">
        <v>388</v>
      </c>
      <c r="J62" s="1133">
        <v>4.8014645329297334E-2</v>
      </c>
      <c r="K62" s="1131" t="s">
        <v>388</v>
      </c>
      <c r="L62" s="1133">
        <v>4.4887168561134227E-2</v>
      </c>
      <c r="M62" t="s">
        <v>388</v>
      </c>
      <c r="N62" s="1133">
        <v>4.1376614068048781E-2</v>
      </c>
      <c r="O62" s="1089" t="s">
        <v>382</v>
      </c>
      <c r="P62" s="1150">
        <v>4.7E-2</v>
      </c>
      <c r="Q62" s="1135">
        <f t="shared" si="0"/>
        <v>17</v>
      </c>
    </row>
    <row r="63" spans="1:17">
      <c r="A63" s="498"/>
      <c r="B63" s="783">
        <v>8</v>
      </c>
      <c r="C63" s="498" t="s">
        <v>391</v>
      </c>
      <c r="D63" s="779">
        <v>4.4625917263117744E-2</v>
      </c>
      <c r="E63" s="498" t="s">
        <v>391</v>
      </c>
      <c r="F63" s="779">
        <v>4.4625917263117744E-2</v>
      </c>
      <c r="G63" s="498" t="s">
        <v>391</v>
      </c>
      <c r="H63" s="779">
        <v>4.1379274846095243E-2</v>
      </c>
      <c r="I63" s="1131" t="s">
        <v>392</v>
      </c>
      <c r="J63" s="1133">
        <v>3.8254802020966414E-2</v>
      </c>
      <c r="K63" s="1131" t="s">
        <v>391</v>
      </c>
      <c r="L63" s="1133">
        <v>3.6710654009615491E-2</v>
      </c>
      <c r="M63" t="s">
        <v>395</v>
      </c>
      <c r="N63" s="1133">
        <v>3.8221782995406219E-2</v>
      </c>
      <c r="O63" s="1089" t="s">
        <v>381</v>
      </c>
      <c r="P63" s="1150">
        <v>4.2999999999999997E-2</v>
      </c>
      <c r="Q63" s="1135">
        <f t="shared" si="0"/>
        <v>18</v>
      </c>
    </row>
    <row r="64" spans="1:17">
      <c r="A64" s="498"/>
      <c r="B64" s="783">
        <v>9</v>
      </c>
      <c r="C64" s="498" t="s">
        <v>392</v>
      </c>
      <c r="D64" s="779">
        <v>3.7679311764056339E-2</v>
      </c>
      <c r="E64" s="498" t="s">
        <v>392</v>
      </c>
      <c r="F64" s="779">
        <v>3.7679311764056339E-2</v>
      </c>
      <c r="G64" s="498" t="s">
        <v>392</v>
      </c>
      <c r="H64" s="779">
        <v>3.7822479359262078E-2</v>
      </c>
      <c r="I64" s="1131" t="s">
        <v>391</v>
      </c>
      <c r="J64" s="1133">
        <v>3.8060050301586948E-2</v>
      </c>
      <c r="K64" s="1131" t="s">
        <v>392</v>
      </c>
      <c r="L64" s="1133">
        <v>3.6548908496659122E-2</v>
      </c>
      <c r="M64" t="s">
        <v>393</v>
      </c>
      <c r="N64" s="1133">
        <v>3.6223542316004387E-2</v>
      </c>
      <c r="O64" s="1089" t="s">
        <v>388</v>
      </c>
      <c r="P64" s="1150">
        <v>3.5999999999999997E-2</v>
      </c>
      <c r="Q64" s="1135">
        <f t="shared" si="0"/>
        <v>19</v>
      </c>
    </row>
    <row r="65" spans="1:17">
      <c r="A65" s="498"/>
      <c r="B65" s="783">
        <v>10</v>
      </c>
      <c r="C65" s="498" t="s">
        <v>395</v>
      </c>
      <c r="D65" s="779">
        <v>3.2634992019434435E-2</v>
      </c>
      <c r="E65" s="498" t="s">
        <v>395</v>
      </c>
      <c r="F65" s="779">
        <v>3.2634992019434435E-2</v>
      </c>
      <c r="G65" s="498" t="s">
        <v>395</v>
      </c>
      <c r="H65" s="779">
        <v>3.4708353064712059E-2</v>
      </c>
      <c r="I65" s="1131" t="s">
        <v>395</v>
      </c>
      <c r="J65" s="1133">
        <v>3.3981392864297001E-2</v>
      </c>
      <c r="K65" s="1131" t="s">
        <v>393</v>
      </c>
      <c r="L65" s="1133">
        <v>3.5204747509676844E-2</v>
      </c>
      <c r="M65" t="s">
        <v>391</v>
      </c>
      <c r="N65" s="1133">
        <v>3.4833461843377024E-2</v>
      </c>
      <c r="O65" s="1242" t="s">
        <v>391</v>
      </c>
      <c r="P65" s="1150">
        <v>3.4000000000000002E-2</v>
      </c>
      <c r="Q65" s="1135">
        <f t="shared" si="0"/>
        <v>20</v>
      </c>
    </row>
    <row r="66" spans="1:17">
      <c r="A66" s="497" t="s">
        <v>42</v>
      </c>
      <c r="B66" s="782">
        <v>1</v>
      </c>
      <c r="C66" s="789" t="s">
        <v>379</v>
      </c>
      <c r="D66" s="778">
        <v>8.6141452984369565E-2</v>
      </c>
      <c r="E66" s="789" t="s">
        <v>379</v>
      </c>
      <c r="F66" s="778">
        <v>8.6141452984369565E-2</v>
      </c>
      <c r="G66" s="789" t="s">
        <v>379</v>
      </c>
      <c r="H66" s="778">
        <v>7.9353342520082013E-2</v>
      </c>
      <c r="I66" s="786" t="s">
        <v>379</v>
      </c>
      <c r="J66" s="1132">
        <v>7.9093752238164589E-2</v>
      </c>
      <c r="K66" s="786" t="s">
        <v>379</v>
      </c>
      <c r="L66" s="1132">
        <v>7.8736476559369578E-2</v>
      </c>
      <c r="M66" s="786" t="s">
        <v>379</v>
      </c>
      <c r="N66" s="1132">
        <v>7.5286875694054095E-2</v>
      </c>
      <c r="O66" s="1152" t="s">
        <v>379</v>
      </c>
      <c r="P66" s="1146">
        <v>7.1999999999999995E-2</v>
      </c>
      <c r="Q66" s="1135">
        <f t="shared" si="0"/>
        <v>21</v>
      </c>
    </row>
    <row r="67" spans="1:17">
      <c r="A67" s="498"/>
      <c r="B67" s="783">
        <v>2</v>
      </c>
      <c r="C67" s="498" t="s">
        <v>381</v>
      </c>
      <c r="D67" s="779">
        <v>5.8543700585105503E-2</v>
      </c>
      <c r="E67" s="498" t="s">
        <v>381</v>
      </c>
      <c r="F67" s="779">
        <v>5.8543700585105503E-2</v>
      </c>
      <c r="G67" s="498" t="s">
        <v>391</v>
      </c>
      <c r="H67" s="779">
        <v>5.4818001546062582E-2</v>
      </c>
      <c r="I67" s="1131" t="s">
        <v>380</v>
      </c>
      <c r="J67" s="1133">
        <v>5.9007965876445356E-2</v>
      </c>
      <c r="K67" s="1131" t="s">
        <v>380</v>
      </c>
      <c r="L67" s="1133">
        <v>6.3354258492498108E-2</v>
      </c>
      <c r="M67" t="s">
        <v>380</v>
      </c>
      <c r="N67" s="1133">
        <v>6.6903387669486294E-2</v>
      </c>
      <c r="O67" s="1089" t="s">
        <v>380</v>
      </c>
      <c r="P67" s="1150">
        <v>7.0999999999999994E-2</v>
      </c>
      <c r="Q67" s="1135">
        <f t="shared" si="0"/>
        <v>22</v>
      </c>
    </row>
    <row r="68" spans="1:17">
      <c r="A68" s="498"/>
      <c r="B68" s="783">
        <v>3</v>
      </c>
      <c r="C68" s="498" t="s">
        <v>380</v>
      </c>
      <c r="D68" s="779">
        <v>5.5096053438530773E-2</v>
      </c>
      <c r="E68" s="498" t="s">
        <v>380</v>
      </c>
      <c r="F68" s="779">
        <v>5.5096053438530773E-2</v>
      </c>
      <c r="G68" s="498" t="s">
        <v>380</v>
      </c>
      <c r="H68" s="779">
        <v>5.3019863543172119E-2</v>
      </c>
      <c r="I68" s="1131" t="s">
        <v>391</v>
      </c>
      <c r="J68" s="1133">
        <v>5.7464129682240316E-2</v>
      </c>
      <c r="K68" s="1131" t="s">
        <v>391</v>
      </c>
      <c r="L68" s="1133">
        <v>6.0608758885772378E-2</v>
      </c>
      <c r="M68" t="s">
        <v>391</v>
      </c>
      <c r="N68" s="1133">
        <v>6.2749345361319417E-2</v>
      </c>
      <c r="O68" s="1089" t="s">
        <v>391</v>
      </c>
      <c r="P68" s="1150">
        <v>7.0999999999999994E-2</v>
      </c>
      <c r="Q68" s="1135">
        <f t="shared" si="0"/>
        <v>23</v>
      </c>
    </row>
    <row r="69" spans="1:17">
      <c r="A69" s="498"/>
      <c r="B69" s="783">
        <v>4</v>
      </c>
      <c r="C69" s="498" t="s">
        <v>395</v>
      </c>
      <c r="D69" s="779">
        <v>4.9974308398667351E-2</v>
      </c>
      <c r="E69" s="498" t="s">
        <v>395</v>
      </c>
      <c r="F69" s="779">
        <v>4.9974308398667351E-2</v>
      </c>
      <c r="G69" s="498" t="s">
        <v>381</v>
      </c>
      <c r="H69" s="779">
        <v>5.2137599569791283E-2</v>
      </c>
      <c r="I69" s="1131" t="s">
        <v>381</v>
      </c>
      <c r="J69" s="1133">
        <v>5.0492993052737127E-2</v>
      </c>
      <c r="K69" s="1131" t="s">
        <v>395</v>
      </c>
      <c r="L69" s="1133">
        <v>5.238710060400991E-2</v>
      </c>
      <c r="M69" t="s">
        <v>376</v>
      </c>
      <c r="N69" s="1133">
        <v>5.0444880108580906E-2</v>
      </c>
      <c r="O69" s="1089" t="s">
        <v>376</v>
      </c>
      <c r="P69" s="1150">
        <v>5.2999999999999999E-2</v>
      </c>
      <c r="Q69" s="1135">
        <f t="shared" si="0"/>
        <v>24</v>
      </c>
    </row>
    <row r="70" spans="1:17">
      <c r="A70" s="498"/>
      <c r="B70" s="783">
        <v>5</v>
      </c>
      <c r="C70" s="498" t="s">
        <v>391</v>
      </c>
      <c r="D70" s="779">
        <v>4.9609653412010409E-2</v>
      </c>
      <c r="E70" s="498" t="s">
        <v>391</v>
      </c>
      <c r="F70" s="779">
        <v>4.9609653412010409E-2</v>
      </c>
      <c r="G70" s="498" t="s">
        <v>395</v>
      </c>
      <c r="H70" s="779">
        <v>5.0994857661412298E-2</v>
      </c>
      <c r="I70" s="1131" t="s">
        <v>395</v>
      </c>
      <c r="J70" s="1133">
        <v>4.8638798035985704E-2</v>
      </c>
      <c r="K70" s="1131" t="s">
        <v>381</v>
      </c>
      <c r="L70" s="1133">
        <v>4.5367525933840878E-2</v>
      </c>
      <c r="M70" t="s">
        <v>395</v>
      </c>
      <c r="N70" s="1133">
        <v>4.7963422492151193E-2</v>
      </c>
      <c r="O70" s="1089" t="s">
        <v>381</v>
      </c>
      <c r="P70" s="1150">
        <v>4.8000000000000001E-2</v>
      </c>
      <c r="Q70" s="1135">
        <f t="shared" si="0"/>
        <v>25</v>
      </c>
    </row>
    <row r="71" spans="1:17">
      <c r="A71" s="498"/>
      <c r="B71" s="783">
        <v>6</v>
      </c>
      <c r="C71" s="498" t="s">
        <v>382</v>
      </c>
      <c r="D71" s="779">
        <v>4.3874624985496678E-2</v>
      </c>
      <c r="E71" s="498" t="s">
        <v>382</v>
      </c>
      <c r="F71" s="779">
        <v>4.3874624985496678E-2</v>
      </c>
      <c r="G71" s="498" t="s">
        <v>382</v>
      </c>
      <c r="H71" s="779">
        <v>4.242429334856989E-2</v>
      </c>
      <c r="I71" s="1131" t="s">
        <v>382</v>
      </c>
      <c r="J71" s="1133">
        <v>4.5829652796014676E-2</v>
      </c>
      <c r="K71" s="1131" t="s">
        <v>382</v>
      </c>
      <c r="L71" s="1133">
        <v>4.3475357285962336E-2</v>
      </c>
      <c r="M71" t="s">
        <v>381</v>
      </c>
      <c r="N71" s="1133">
        <v>4.5351722625135385E-2</v>
      </c>
      <c r="O71" s="1089" t="s">
        <v>394</v>
      </c>
      <c r="P71" s="1150">
        <v>4.5999999999999999E-2</v>
      </c>
      <c r="Q71" s="1135">
        <f t="shared" si="0"/>
        <v>26</v>
      </c>
    </row>
    <row r="72" spans="1:17">
      <c r="A72" s="498"/>
      <c r="B72" s="783">
        <v>7</v>
      </c>
      <c r="C72" s="498" t="s">
        <v>378</v>
      </c>
      <c r="D72" s="779">
        <v>4.1951898692214613E-2</v>
      </c>
      <c r="E72" s="498" t="s">
        <v>378</v>
      </c>
      <c r="F72" s="779">
        <v>4.1951898692214613E-2</v>
      </c>
      <c r="G72" s="498" t="s">
        <v>387</v>
      </c>
      <c r="H72" s="779">
        <v>4.1819312338251605E-2</v>
      </c>
      <c r="I72" s="1131" t="s">
        <v>378</v>
      </c>
      <c r="J72" s="1133">
        <v>4.278972791876557E-2</v>
      </c>
      <c r="K72" s="1131" t="s">
        <v>378</v>
      </c>
      <c r="L72" s="1133">
        <v>4.2941097903031925E-2</v>
      </c>
      <c r="M72" t="s">
        <v>378</v>
      </c>
      <c r="N72" s="1133">
        <v>4.355575053810614E-2</v>
      </c>
      <c r="O72" s="1089" t="s">
        <v>378</v>
      </c>
      <c r="P72" s="1150">
        <v>4.2999999999999997E-2</v>
      </c>
      <c r="Q72" s="1135">
        <f t="shared" si="0"/>
        <v>27</v>
      </c>
    </row>
    <row r="73" spans="1:17">
      <c r="A73" s="498"/>
      <c r="B73" s="783">
        <v>8</v>
      </c>
      <c r="C73" s="498" t="s">
        <v>376</v>
      </c>
      <c r="D73" s="779">
        <v>3.8529114385639225E-2</v>
      </c>
      <c r="E73" s="498" t="s">
        <v>376</v>
      </c>
      <c r="F73" s="779">
        <v>3.8529114385639225E-2</v>
      </c>
      <c r="G73" s="498" t="s">
        <v>378</v>
      </c>
      <c r="H73" s="779">
        <v>3.937418075488186E-2</v>
      </c>
      <c r="I73" s="1131" t="s">
        <v>387</v>
      </c>
      <c r="J73" s="1133">
        <v>3.8770979062716357E-2</v>
      </c>
      <c r="K73" s="1131" t="s">
        <v>376</v>
      </c>
      <c r="L73" s="1133">
        <v>4.2740750634433014E-2</v>
      </c>
      <c r="M73" t="s">
        <v>394</v>
      </c>
      <c r="N73" s="1133">
        <v>4.2596070796945475E-2</v>
      </c>
      <c r="O73" s="1089" t="s">
        <v>395</v>
      </c>
      <c r="P73" s="1150">
        <v>4.2000000000000003E-2</v>
      </c>
      <c r="Q73" s="1135">
        <f t="shared" si="0"/>
        <v>28</v>
      </c>
    </row>
    <row r="74" spans="1:17">
      <c r="A74" s="498"/>
      <c r="B74" s="783">
        <v>9</v>
      </c>
      <c r="C74" s="498" t="s">
        <v>392</v>
      </c>
      <c r="D74" s="779">
        <v>3.7401998972335947E-2</v>
      </c>
      <c r="E74" s="498" t="s">
        <v>392</v>
      </c>
      <c r="F74" s="779">
        <v>3.7401998972335947E-2</v>
      </c>
      <c r="G74" s="498" t="s">
        <v>376</v>
      </c>
      <c r="H74" s="779">
        <v>3.7828118172957351E-2</v>
      </c>
      <c r="I74" s="1131" t="s">
        <v>376</v>
      </c>
      <c r="J74" s="1133">
        <v>3.6908826127438107E-2</v>
      </c>
      <c r="K74" s="1131" t="s">
        <v>387</v>
      </c>
      <c r="L74" s="1133">
        <v>3.8125343187450839E-2</v>
      </c>
      <c r="M74" t="s">
        <v>382</v>
      </c>
      <c r="N74" s="1133">
        <v>4.2123085781659152E-2</v>
      </c>
      <c r="O74" s="1241" t="s">
        <v>392</v>
      </c>
      <c r="P74" s="1150">
        <v>0.04</v>
      </c>
      <c r="Q74" s="1135">
        <f t="shared" si="0"/>
        <v>29</v>
      </c>
    </row>
    <row r="75" spans="1:17">
      <c r="A75" s="498"/>
      <c r="B75" s="783">
        <v>10</v>
      </c>
      <c r="C75" s="498" t="s">
        <v>387</v>
      </c>
      <c r="D75" s="779">
        <v>3.6946180239014768E-2</v>
      </c>
      <c r="E75" s="498" t="s">
        <v>387</v>
      </c>
      <c r="F75" s="779">
        <v>3.6946180239014768E-2</v>
      </c>
      <c r="G75" s="498" t="s">
        <v>388</v>
      </c>
      <c r="H75" s="779">
        <v>3.3769703895405505E-2</v>
      </c>
      <c r="I75" s="1131" t="s">
        <v>392</v>
      </c>
      <c r="J75" s="1133">
        <v>3.5412737444394042E-2</v>
      </c>
      <c r="K75" s="1131" t="s">
        <v>392</v>
      </c>
      <c r="L75" s="1133">
        <v>3.7153287921285784E-2</v>
      </c>
      <c r="M75" t="s">
        <v>387</v>
      </c>
      <c r="N75" s="1133">
        <v>4.0690421025212156E-2</v>
      </c>
      <c r="O75" s="1242" t="s">
        <v>382</v>
      </c>
      <c r="P75" s="1150">
        <v>0.04</v>
      </c>
      <c r="Q75" s="1135">
        <f t="shared" si="0"/>
        <v>30</v>
      </c>
    </row>
    <row r="76" spans="1:17">
      <c r="A76" s="497" t="s">
        <v>43</v>
      </c>
      <c r="B76" s="782">
        <v>1</v>
      </c>
      <c r="C76" s="789" t="s">
        <v>379</v>
      </c>
      <c r="D76" s="778">
        <v>8.249932315011721E-2</v>
      </c>
      <c r="E76" s="789" t="s">
        <v>379</v>
      </c>
      <c r="F76" s="778">
        <v>8.6141452984369565E-2</v>
      </c>
      <c r="G76" s="789" t="s">
        <v>380</v>
      </c>
      <c r="H76" s="778">
        <v>8.8322513981753059E-2</v>
      </c>
      <c r="I76" s="786" t="s">
        <v>380</v>
      </c>
      <c r="J76" s="1132">
        <v>9.5630780646814073E-2</v>
      </c>
      <c r="K76" s="786" t="s">
        <v>380</v>
      </c>
      <c r="L76" s="1132">
        <v>0.10321736046660782</v>
      </c>
      <c r="M76" s="786" t="s">
        <v>380</v>
      </c>
      <c r="N76" s="1132">
        <v>0.10677983636661464</v>
      </c>
      <c r="O76" s="1152" t="s">
        <v>380</v>
      </c>
      <c r="P76" s="1146">
        <v>0.126</v>
      </c>
      <c r="Q76" s="1135">
        <f t="shared" si="0"/>
        <v>31</v>
      </c>
    </row>
    <row r="77" spans="1:17">
      <c r="A77" s="498"/>
      <c r="B77" s="783">
        <v>2</v>
      </c>
      <c r="C77" s="498" t="s">
        <v>380</v>
      </c>
      <c r="D77" s="779">
        <v>8.2476182983184043E-2</v>
      </c>
      <c r="E77" s="498" t="s">
        <v>380</v>
      </c>
      <c r="F77" s="779">
        <v>5.8543700585105503E-2</v>
      </c>
      <c r="G77" s="498" t="s">
        <v>379</v>
      </c>
      <c r="H77" s="779">
        <v>8.3475815158212743E-2</v>
      </c>
      <c r="I77" s="1131" t="s">
        <v>379</v>
      </c>
      <c r="J77" s="1133">
        <v>8.0717043135661345E-2</v>
      </c>
      <c r="K77" s="1131" t="s">
        <v>382</v>
      </c>
      <c r="L77" s="1133">
        <v>7.7685598086485425E-2</v>
      </c>
      <c r="M77" t="s">
        <v>382</v>
      </c>
      <c r="N77" s="1133">
        <v>7.1876266262037566E-2</v>
      </c>
      <c r="O77" s="1089" t="s">
        <v>382</v>
      </c>
      <c r="P77" s="1150">
        <v>7.1999999999999995E-2</v>
      </c>
      <c r="Q77" s="1135">
        <f t="shared" si="0"/>
        <v>32</v>
      </c>
    </row>
    <row r="78" spans="1:17">
      <c r="A78" s="498"/>
      <c r="B78" s="783">
        <v>3</v>
      </c>
      <c r="C78" s="498" t="s">
        <v>382</v>
      </c>
      <c r="D78" s="779">
        <v>7.2208890914939067E-2</v>
      </c>
      <c r="E78" s="498" t="s">
        <v>382</v>
      </c>
      <c r="F78" s="779">
        <v>5.5096053438530773E-2</v>
      </c>
      <c r="G78" s="498" t="s">
        <v>382</v>
      </c>
      <c r="H78" s="779">
        <v>7.1873392735512034E-2</v>
      </c>
      <c r="I78" s="1131" t="s">
        <v>382</v>
      </c>
      <c r="J78" s="1133">
        <v>7.9612812607662481E-2</v>
      </c>
      <c r="K78" s="1131" t="s">
        <v>379</v>
      </c>
      <c r="L78" s="1133">
        <v>7.4518414559612473E-2</v>
      </c>
      <c r="M78" t="s">
        <v>378</v>
      </c>
      <c r="N78" s="1133">
        <v>7.1483994447845089E-2</v>
      </c>
      <c r="O78" s="1089" t="s">
        <v>378</v>
      </c>
      <c r="P78" s="1150">
        <v>6.9000000000000006E-2</v>
      </c>
      <c r="Q78" s="1135">
        <f t="shared" si="0"/>
        <v>33</v>
      </c>
    </row>
    <row r="79" spans="1:17">
      <c r="A79" s="498"/>
      <c r="B79" s="783">
        <v>4</v>
      </c>
      <c r="C79" s="498" t="s">
        <v>397</v>
      </c>
      <c r="D79" s="779">
        <v>5.290999169268007E-2</v>
      </c>
      <c r="E79" s="498" t="s">
        <v>397</v>
      </c>
      <c r="F79" s="779">
        <v>4.9974308398667351E-2</v>
      </c>
      <c r="G79" s="498" t="s">
        <v>378</v>
      </c>
      <c r="H79" s="779">
        <v>6.1086476042202423E-2</v>
      </c>
      <c r="I79" s="1131" t="s">
        <v>378</v>
      </c>
      <c r="J79" s="1133">
        <v>7.677273168964939E-2</v>
      </c>
      <c r="K79" s="1131" t="s">
        <v>378</v>
      </c>
      <c r="L79" s="1133">
        <v>7.0994710671465538E-2</v>
      </c>
      <c r="M79" t="s">
        <v>379</v>
      </c>
      <c r="N79" s="1133">
        <v>6.5627218203711202E-2</v>
      </c>
      <c r="O79" s="1089" t="s">
        <v>379</v>
      </c>
      <c r="P79" s="1150">
        <v>6.4000000000000001E-2</v>
      </c>
      <c r="Q79" s="1135">
        <f t="shared" si="0"/>
        <v>34</v>
      </c>
    </row>
    <row r="80" spans="1:17">
      <c r="A80" s="498"/>
      <c r="B80" s="783">
        <v>5</v>
      </c>
      <c r="C80" s="498" t="s">
        <v>378</v>
      </c>
      <c r="D80" s="779">
        <v>4.7124949959389005E-2</v>
      </c>
      <c r="E80" s="498" t="s">
        <v>378</v>
      </c>
      <c r="F80" s="779">
        <v>4.9609653412010409E-2</v>
      </c>
      <c r="G80" s="498" t="s">
        <v>397</v>
      </c>
      <c r="H80" s="779">
        <v>4.8700982777075019E-2</v>
      </c>
      <c r="I80" s="1131" t="s">
        <v>397</v>
      </c>
      <c r="J80" s="1133">
        <v>4.3111368274131853E-2</v>
      </c>
      <c r="K80" s="1131" t="s">
        <v>397</v>
      </c>
      <c r="L80" s="1133">
        <v>4.2457990960605443E-2</v>
      </c>
      <c r="M80" t="s">
        <v>397</v>
      </c>
      <c r="N80" s="1133">
        <v>4.2040618093932572E-2</v>
      </c>
      <c r="O80" s="1089" t="s">
        <v>397</v>
      </c>
      <c r="P80" s="1150">
        <v>4.2000000000000003E-2</v>
      </c>
      <c r="Q80" s="1135">
        <f t="shared" si="0"/>
        <v>35</v>
      </c>
    </row>
    <row r="81" spans="1:17">
      <c r="A81" s="498"/>
      <c r="B81" s="783">
        <v>6</v>
      </c>
      <c r="C81" s="498" t="s">
        <v>395</v>
      </c>
      <c r="D81" s="779">
        <v>4.5530592457693989E-2</v>
      </c>
      <c r="E81" s="498" t="s">
        <v>395</v>
      </c>
      <c r="F81" s="779">
        <v>4.3874624985496678E-2</v>
      </c>
      <c r="G81" s="498" t="s">
        <v>395</v>
      </c>
      <c r="H81" s="779">
        <v>4.1486537205132124E-2</v>
      </c>
      <c r="I81" s="1131" t="s">
        <v>395</v>
      </c>
      <c r="J81" s="1133">
        <v>3.8667944629464407E-2</v>
      </c>
      <c r="K81" s="1131" t="s">
        <v>395</v>
      </c>
      <c r="L81" s="1133">
        <v>4.0090620307701594E-2</v>
      </c>
      <c r="M81" t="s">
        <v>395</v>
      </c>
      <c r="N81" s="1133">
        <v>4.0103686205538933E-2</v>
      </c>
      <c r="O81" s="1089" t="s">
        <v>401</v>
      </c>
      <c r="P81" s="1150">
        <v>3.9E-2</v>
      </c>
      <c r="Q81" s="1135">
        <f t="shared" si="0"/>
        <v>36</v>
      </c>
    </row>
    <row r="82" spans="1:17">
      <c r="A82" s="498"/>
      <c r="B82" s="783">
        <v>7</v>
      </c>
      <c r="C82" s="498" t="s">
        <v>399</v>
      </c>
      <c r="D82" s="779">
        <v>4.1830479765081023E-2</v>
      </c>
      <c r="E82" s="498" t="s">
        <v>399</v>
      </c>
      <c r="F82" s="779">
        <v>4.1951898692214613E-2</v>
      </c>
      <c r="G82" s="498" t="s">
        <v>399</v>
      </c>
      <c r="H82" s="779">
        <v>3.8405222943512327E-2</v>
      </c>
      <c r="I82" s="1131" t="s">
        <v>381</v>
      </c>
      <c r="J82" s="1133">
        <v>3.771609791432938E-2</v>
      </c>
      <c r="K82" s="1131" t="s">
        <v>381</v>
      </c>
      <c r="L82" s="1133">
        <v>3.7396910911409405E-2</v>
      </c>
      <c r="M82" t="s">
        <v>387</v>
      </c>
      <c r="N82" s="1133">
        <v>3.8748696019518754E-2</v>
      </c>
      <c r="O82" s="1089" t="s">
        <v>381</v>
      </c>
      <c r="P82" s="1150">
        <v>3.7999999999999999E-2</v>
      </c>
      <c r="Q82" s="1135">
        <f t="shared" si="0"/>
        <v>37</v>
      </c>
    </row>
    <row r="83" spans="1:17">
      <c r="A83" s="498"/>
      <c r="B83" s="783">
        <v>8</v>
      </c>
      <c r="C83" s="498" t="s">
        <v>381</v>
      </c>
      <c r="D83" s="779">
        <v>4.1705522863641938E-2</v>
      </c>
      <c r="E83" s="498" t="s">
        <v>381</v>
      </c>
      <c r="F83" s="779">
        <v>3.8529114385639225E-2</v>
      </c>
      <c r="G83" s="498" t="s">
        <v>381</v>
      </c>
      <c r="H83" s="779">
        <v>3.8344986724864118E-2</v>
      </c>
      <c r="I83" s="1131" t="s">
        <v>392</v>
      </c>
      <c r="J83" s="1133">
        <v>3.4350403264988824E-2</v>
      </c>
      <c r="K83" s="1131" t="s">
        <v>401</v>
      </c>
      <c r="L83" s="1133">
        <v>3.4776769208713434E-2</v>
      </c>
      <c r="M83" t="s">
        <v>401</v>
      </c>
      <c r="N83" s="1133">
        <v>3.8281705764527704E-2</v>
      </c>
      <c r="O83" s="1242" t="s">
        <v>399</v>
      </c>
      <c r="P83" s="1150">
        <v>3.7999999999999999E-2</v>
      </c>
      <c r="Q83" s="1135">
        <f t="shared" si="0"/>
        <v>38</v>
      </c>
    </row>
    <row r="84" spans="1:17">
      <c r="A84" s="498"/>
      <c r="B84" s="783">
        <v>9</v>
      </c>
      <c r="C84" s="498" t="s">
        <v>387</v>
      </c>
      <c r="D84" s="779">
        <v>3.5184623821876253E-2</v>
      </c>
      <c r="E84" s="498" t="s">
        <v>387</v>
      </c>
      <c r="F84" s="779">
        <v>3.7401998972335947E-2</v>
      </c>
      <c r="G84" s="498" t="s">
        <v>401</v>
      </c>
      <c r="H84" s="779">
        <v>3.1936779771751064E-2</v>
      </c>
      <c r="I84" s="1131" t="s">
        <v>399</v>
      </c>
      <c r="J84" s="1133">
        <v>3.4326110193372852E-2</v>
      </c>
      <c r="K84" s="1131" t="s">
        <v>399</v>
      </c>
      <c r="L84" s="1133">
        <v>3.4378749122846733E-2</v>
      </c>
      <c r="M84" t="s">
        <v>381</v>
      </c>
      <c r="N84" s="1133">
        <v>3.6479841826808398E-2</v>
      </c>
      <c r="O84" s="1089" t="s">
        <v>387</v>
      </c>
      <c r="P84" s="1150">
        <v>3.7999999999999999E-2</v>
      </c>
      <c r="Q84" s="1135">
        <f t="shared" si="0"/>
        <v>39</v>
      </c>
    </row>
    <row r="85" spans="1:17">
      <c r="A85" s="498"/>
      <c r="B85" s="783">
        <v>10</v>
      </c>
      <c r="C85" s="498" t="s">
        <v>393</v>
      </c>
      <c r="D85" s="779">
        <v>3.3990591208124976E-2</v>
      </c>
      <c r="E85" s="498" t="s">
        <v>393</v>
      </c>
      <c r="F85" s="779">
        <v>3.6946180239014768E-2</v>
      </c>
      <c r="G85" s="498" t="s">
        <v>393</v>
      </c>
      <c r="H85" s="779">
        <v>3.1908978440067279E-2</v>
      </c>
      <c r="I85" s="1131" t="s">
        <v>401</v>
      </c>
      <c r="J85" s="1133">
        <v>3.2287700638686939E-2</v>
      </c>
      <c r="K85" s="1131" t="s">
        <v>387</v>
      </c>
      <c r="L85" s="1133">
        <v>3.3975069983626476E-2</v>
      </c>
      <c r="M85" t="s">
        <v>399</v>
      </c>
      <c r="N85" s="1133">
        <v>3.4537162366045641E-2</v>
      </c>
      <c r="O85" s="1242" t="s">
        <v>395</v>
      </c>
      <c r="P85" s="1150">
        <v>3.6999999999999998E-2</v>
      </c>
      <c r="Q85" s="1135">
        <f t="shared" si="0"/>
        <v>40</v>
      </c>
    </row>
    <row r="86" spans="1:17">
      <c r="A86" s="497" t="s">
        <v>44</v>
      </c>
      <c r="B86" s="782">
        <v>1</v>
      </c>
      <c r="C86" s="789" t="s">
        <v>380</v>
      </c>
      <c r="D86" s="778">
        <v>0.16234772353745594</v>
      </c>
      <c r="E86" s="789" t="s">
        <v>380</v>
      </c>
      <c r="F86" s="778">
        <v>0.16234772353745594</v>
      </c>
      <c r="G86" s="789" t="s">
        <v>380</v>
      </c>
      <c r="H86" s="778">
        <v>0.15571924785302785</v>
      </c>
      <c r="I86" s="786" t="s">
        <v>380</v>
      </c>
      <c r="J86" s="1132">
        <v>0.16086674378579691</v>
      </c>
      <c r="K86" s="786" t="s">
        <v>380</v>
      </c>
      <c r="L86" s="1132">
        <v>0.16267659851306396</v>
      </c>
      <c r="M86" s="786" t="s">
        <v>380</v>
      </c>
      <c r="N86" s="1132">
        <v>0.16684915181100607</v>
      </c>
      <c r="O86" s="1152" t="s">
        <v>380</v>
      </c>
      <c r="P86" s="1146">
        <v>0.16300000000000001</v>
      </c>
      <c r="Q86" s="1135">
        <f t="shared" si="0"/>
        <v>41</v>
      </c>
    </row>
    <row r="87" spans="1:17">
      <c r="A87" s="498"/>
      <c r="B87" s="783">
        <v>2</v>
      </c>
      <c r="C87" s="498" t="s">
        <v>378</v>
      </c>
      <c r="D87" s="779">
        <v>7.2252123401959675E-2</v>
      </c>
      <c r="E87" s="498" t="s">
        <v>378</v>
      </c>
      <c r="F87" s="779">
        <v>7.2252123401959675E-2</v>
      </c>
      <c r="G87" s="498" t="s">
        <v>378</v>
      </c>
      <c r="H87" s="779">
        <v>7.6332454940391675E-2</v>
      </c>
      <c r="I87" s="1131" t="s">
        <v>378</v>
      </c>
      <c r="J87" s="1133">
        <v>8.2490195525209489E-2</v>
      </c>
      <c r="K87" s="1131" t="s">
        <v>378</v>
      </c>
      <c r="L87" s="1133">
        <v>8.7949113491799694E-2</v>
      </c>
      <c r="M87" t="s">
        <v>378</v>
      </c>
      <c r="N87" s="1133">
        <v>8.9383474184467529E-2</v>
      </c>
      <c r="O87" s="1089" t="s">
        <v>378</v>
      </c>
      <c r="P87" s="1150">
        <v>9.1999999999999998E-2</v>
      </c>
      <c r="Q87" s="1135">
        <f t="shared" si="0"/>
        <v>42</v>
      </c>
    </row>
    <row r="88" spans="1:17">
      <c r="A88" s="498"/>
      <c r="B88" s="783">
        <v>3</v>
      </c>
      <c r="C88" s="498" t="s">
        <v>379</v>
      </c>
      <c r="D88" s="779">
        <v>7.0304364735845032E-2</v>
      </c>
      <c r="E88" s="498" t="s">
        <v>379</v>
      </c>
      <c r="F88" s="779">
        <v>7.0304364735845032E-2</v>
      </c>
      <c r="G88" s="498" t="s">
        <v>379</v>
      </c>
      <c r="H88" s="779">
        <v>7.0977615601818311E-2</v>
      </c>
      <c r="I88" s="1131" t="s">
        <v>379</v>
      </c>
      <c r="J88" s="1133">
        <v>6.9277431368676465E-2</v>
      </c>
      <c r="K88" s="1131" t="s">
        <v>379</v>
      </c>
      <c r="L88" s="1133">
        <v>6.5093934925951488E-2</v>
      </c>
      <c r="M88" t="s">
        <v>376</v>
      </c>
      <c r="N88" s="1133">
        <v>6.7605608996468697E-2</v>
      </c>
      <c r="O88" s="1089" t="s">
        <v>376</v>
      </c>
      <c r="P88" s="1150">
        <v>6.8000000000000005E-2</v>
      </c>
      <c r="Q88" s="1135">
        <f t="shared" si="0"/>
        <v>43</v>
      </c>
    </row>
    <row r="89" spans="1:17">
      <c r="A89" s="498"/>
      <c r="B89" s="783">
        <v>4</v>
      </c>
      <c r="C89" s="498" t="s">
        <v>391</v>
      </c>
      <c r="D89" s="779">
        <v>6.1503381133401085E-2</v>
      </c>
      <c r="E89" s="498" t="s">
        <v>391</v>
      </c>
      <c r="F89" s="779">
        <v>6.1503381133401085E-2</v>
      </c>
      <c r="G89" s="498" t="s">
        <v>391</v>
      </c>
      <c r="H89" s="779">
        <v>5.8363849635591485E-2</v>
      </c>
      <c r="I89" s="1131" t="s">
        <v>376</v>
      </c>
      <c r="J89" s="1133">
        <v>6.4455604773862252E-2</v>
      </c>
      <c r="K89" s="1131" t="s">
        <v>376</v>
      </c>
      <c r="L89" s="1133">
        <v>6.4625183594271579E-2</v>
      </c>
      <c r="M89" t="s">
        <v>379</v>
      </c>
      <c r="N89" s="1133">
        <v>6.2395242274714019E-2</v>
      </c>
      <c r="O89" s="1089" t="s">
        <v>379</v>
      </c>
      <c r="P89" s="1150">
        <v>6.3E-2</v>
      </c>
      <c r="Q89" s="1135">
        <f t="shared" si="0"/>
        <v>44</v>
      </c>
    </row>
    <row r="90" spans="1:17">
      <c r="A90" s="498"/>
      <c r="B90" s="783">
        <v>5</v>
      </c>
      <c r="C90" s="498" t="s">
        <v>376</v>
      </c>
      <c r="D90" s="779">
        <v>5.7821144943355038E-2</v>
      </c>
      <c r="E90" s="498" t="s">
        <v>376</v>
      </c>
      <c r="F90" s="779">
        <v>5.7821144943355038E-2</v>
      </c>
      <c r="G90" s="498" t="s">
        <v>376</v>
      </c>
      <c r="H90" s="779">
        <v>5.7726987675421351E-2</v>
      </c>
      <c r="I90" s="1131" t="s">
        <v>391</v>
      </c>
      <c r="J90" s="1133">
        <v>5.2980842479474086E-2</v>
      </c>
      <c r="K90" s="1131" t="s">
        <v>391</v>
      </c>
      <c r="L90" s="1133">
        <v>5.4701859948465763E-2</v>
      </c>
      <c r="M90" t="s">
        <v>391</v>
      </c>
      <c r="N90" s="1133">
        <v>5.2761200820742836E-2</v>
      </c>
      <c r="O90" s="1089" t="s">
        <v>391</v>
      </c>
      <c r="P90" s="1150">
        <v>5.2999999999999999E-2</v>
      </c>
      <c r="Q90" s="1135">
        <f t="shared" si="0"/>
        <v>45</v>
      </c>
    </row>
    <row r="91" spans="1:17">
      <c r="A91" s="498"/>
      <c r="B91" s="783">
        <v>6</v>
      </c>
      <c r="C91" s="498" t="s">
        <v>392</v>
      </c>
      <c r="D91" s="779">
        <v>5.4819526515864352E-2</v>
      </c>
      <c r="E91" s="498" t="s">
        <v>392</v>
      </c>
      <c r="F91" s="779">
        <v>5.4819526515864352E-2</v>
      </c>
      <c r="G91" s="498" t="s">
        <v>392</v>
      </c>
      <c r="H91" s="779">
        <v>5.3860325774388401E-2</v>
      </c>
      <c r="I91" s="1131" t="s">
        <v>392</v>
      </c>
      <c r="J91" s="1133">
        <v>4.8192873063792566E-2</v>
      </c>
      <c r="K91" s="1131" t="s">
        <v>392</v>
      </c>
      <c r="L91" s="1133">
        <v>4.8343887340589038E-2</v>
      </c>
      <c r="M91" t="s">
        <v>392</v>
      </c>
      <c r="N91" s="1133">
        <v>4.7028329717876988E-2</v>
      </c>
      <c r="O91" s="1089" t="s">
        <v>392</v>
      </c>
      <c r="P91" s="1150">
        <v>0.05</v>
      </c>
      <c r="Q91" s="1135">
        <f t="shared" si="0"/>
        <v>46</v>
      </c>
    </row>
    <row r="92" spans="1:17">
      <c r="A92" s="498"/>
      <c r="B92" s="783">
        <v>7</v>
      </c>
      <c r="C92" s="498" t="s">
        <v>382</v>
      </c>
      <c r="D92" s="779">
        <v>4.653606333195328E-2</v>
      </c>
      <c r="E92" s="498" t="s">
        <v>382</v>
      </c>
      <c r="F92" s="779">
        <v>4.653606333195328E-2</v>
      </c>
      <c r="G92" s="498" t="s">
        <v>382</v>
      </c>
      <c r="H92" s="779">
        <v>4.6003528735146654E-2</v>
      </c>
      <c r="I92" s="1131" t="s">
        <v>382</v>
      </c>
      <c r="J92" s="1133">
        <v>4.6756764382247552E-2</v>
      </c>
      <c r="K92" s="1131" t="s">
        <v>382</v>
      </c>
      <c r="L92" s="1133">
        <v>4.5227401214207992E-2</v>
      </c>
      <c r="M92" t="s">
        <v>382</v>
      </c>
      <c r="N92" s="1133">
        <v>4.4806218389218798E-2</v>
      </c>
      <c r="O92" s="1089" t="s">
        <v>381</v>
      </c>
      <c r="P92" s="1150">
        <v>4.8000000000000001E-2</v>
      </c>
      <c r="Q92" s="1135">
        <f t="shared" si="0"/>
        <v>47</v>
      </c>
    </row>
    <row r="93" spans="1:17">
      <c r="A93" s="498"/>
      <c r="B93" s="783">
        <v>8</v>
      </c>
      <c r="C93" s="498" t="s">
        <v>381</v>
      </c>
      <c r="D93" s="779">
        <v>3.9802024916255785E-2</v>
      </c>
      <c r="E93" s="498" t="s">
        <v>381</v>
      </c>
      <c r="F93" s="779">
        <v>3.9802024916255785E-2</v>
      </c>
      <c r="G93" s="498" t="s">
        <v>381</v>
      </c>
      <c r="H93" s="779">
        <v>4.1613730223973952E-2</v>
      </c>
      <c r="I93" s="1131" t="s">
        <v>381</v>
      </c>
      <c r="J93" s="1133">
        <v>4.3105831899105607E-2</v>
      </c>
      <c r="K93" s="1131" t="s">
        <v>381</v>
      </c>
      <c r="L93" s="1133">
        <v>4.2823985295412773E-2</v>
      </c>
      <c r="M93" t="s">
        <v>381</v>
      </c>
      <c r="N93" s="1133">
        <v>4.3902109684824185E-2</v>
      </c>
      <c r="O93" s="1089" t="s">
        <v>382</v>
      </c>
      <c r="P93" s="1150">
        <v>4.5999999999999999E-2</v>
      </c>
      <c r="Q93" s="1135">
        <f t="shared" si="0"/>
        <v>48</v>
      </c>
    </row>
    <row r="94" spans="1:17">
      <c r="A94" s="498"/>
      <c r="B94" s="783">
        <v>9</v>
      </c>
      <c r="C94" s="498" t="s">
        <v>403</v>
      </c>
      <c r="D94" s="779">
        <v>3.9074359842924712E-2</v>
      </c>
      <c r="E94" s="498" t="s">
        <v>403</v>
      </c>
      <c r="F94" s="779">
        <v>3.9074359842924712E-2</v>
      </c>
      <c r="G94" s="498" t="s">
        <v>403</v>
      </c>
      <c r="H94" s="779">
        <v>3.6606565526922041E-2</v>
      </c>
      <c r="I94" s="1131" t="s">
        <v>388</v>
      </c>
      <c r="J94" s="1133">
        <v>3.5843466975143186E-2</v>
      </c>
      <c r="K94" s="1131" t="s">
        <v>388</v>
      </c>
      <c r="L94" s="1133">
        <v>3.4664871207020477E-2</v>
      </c>
      <c r="M94" t="s">
        <v>388</v>
      </c>
      <c r="N94" s="1133">
        <v>3.2997032292532001E-2</v>
      </c>
      <c r="O94" s="1089" t="s">
        <v>388</v>
      </c>
      <c r="P94" s="1150">
        <v>3.2000000000000001E-2</v>
      </c>
      <c r="Q94" s="1135">
        <f t="shared" si="0"/>
        <v>49</v>
      </c>
    </row>
    <row r="95" spans="1:17">
      <c r="A95" s="501"/>
      <c r="B95" s="784">
        <v>10</v>
      </c>
      <c r="C95" s="501" t="s">
        <v>388</v>
      </c>
      <c r="D95" s="785">
        <v>3.6772178102299671E-2</v>
      </c>
      <c r="E95" s="501" t="s">
        <v>388</v>
      </c>
      <c r="F95" s="785">
        <v>3.6772178102299671E-2</v>
      </c>
      <c r="G95" s="501" t="s">
        <v>388</v>
      </c>
      <c r="H95" s="785">
        <v>3.5693513430963837E-2</v>
      </c>
      <c r="I95" s="887" t="s">
        <v>403</v>
      </c>
      <c r="J95" s="1134">
        <v>3.1473069435431537E-2</v>
      </c>
      <c r="K95" s="887" t="s">
        <v>403</v>
      </c>
      <c r="L95" s="1134">
        <v>2.8886445700129829E-2</v>
      </c>
      <c r="M95" s="502" t="s">
        <v>403</v>
      </c>
      <c r="N95" s="1134">
        <v>2.6172185741501233E-2</v>
      </c>
      <c r="O95" s="1114" t="s">
        <v>403</v>
      </c>
      <c r="P95" s="1157">
        <v>2.5999999999999999E-2</v>
      </c>
      <c r="Q95" s="1135">
        <f t="shared" si="0"/>
        <v>50</v>
      </c>
    </row>
    <row r="97" spans="1:81" s="1086" customFormat="1">
      <c r="A97" s="1086" t="s">
        <v>406</v>
      </c>
      <c r="Q97" s="1136"/>
      <c r="R97" s="1137" t="s">
        <v>36</v>
      </c>
      <c r="S97" s="1137">
        <f>C45</f>
        <v>2016</v>
      </c>
      <c r="T97" s="1137">
        <f t="shared" ref="T97:Y97" si="1">S97+1</f>
        <v>2017</v>
      </c>
      <c r="U97" s="1137">
        <f t="shared" si="1"/>
        <v>2018</v>
      </c>
      <c r="V97" s="1137">
        <f t="shared" si="1"/>
        <v>2019</v>
      </c>
      <c r="W97" s="1137">
        <f t="shared" si="1"/>
        <v>2020</v>
      </c>
      <c r="X97" s="1137">
        <f t="shared" si="1"/>
        <v>2021</v>
      </c>
      <c r="Y97" s="1137">
        <f t="shared" si="1"/>
        <v>2022</v>
      </c>
      <c r="Z97" s="1137"/>
      <c r="AA97" s="1137"/>
      <c r="AB97" s="1137"/>
      <c r="AC97" s="1137"/>
      <c r="AD97" s="1137" t="s">
        <v>38</v>
      </c>
      <c r="AE97" s="1137">
        <f>S97</f>
        <v>2016</v>
      </c>
      <c r="AF97" s="1137">
        <f t="shared" ref="AF97:AK97" si="2">AE97+1</f>
        <v>2017</v>
      </c>
      <c r="AG97" s="1137">
        <f t="shared" si="2"/>
        <v>2018</v>
      </c>
      <c r="AH97" s="1137">
        <f t="shared" si="2"/>
        <v>2019</v>
      </c>
      <c r="AI97" s="1137">
        <f t="shared" si="2"/>
        <v>2020</v>
      </c>
      <c r="AJ97" s="1137">
        <f t="shared" si="2"/>
        <v>2021</v>
      </c>
      <c r="AK97" s="1137">
        <f t="shared" si="2"/>
        <v>2022</v>
      </c>
      <c r="AL97" s="1137"/>
      <c r="AM97" s="1137"/>
      <c r="AN97" s="1137"/>
      <c r="AO97" s="1137"/>
      <c r="AP97" s="1137" t="s">
        <v>42</v>
      </c>
      <c r="AQ97" s="1137">
        <f>AE97</f>
        <v>2016</v>
      </c>
      <c r="AR97" s="1137">
        <f t="shared" ref="AR97:AW97" si="3">AQ97+1</f>
        <v>2017</v>
      </c>
      <c r="AS97" s="1137">
        <f t="shared" si="3"/>
        <v>2018</v>
      </c>
      <c r="AT97" s="1137">
        <f t="shared" si="3"/>
        <v>2019</v>
      </c>
      <c r="AU97" s="1137">
        <f t="shared" si="3"/>
        <v>2020</v>
      </c>
      <c r="AV97" s="1137">
        <f t="shared" si="3"/>
        <v>2021</v>
      </c>
      <c r="AW97" s="1137">
        <f t="shared" si="3"/>
        <v>2022</v>
      </c>
      <c r="AX97" s="1137"/>
      <c r="AY97" s="1137"/>
      <c r="AZ97" s="1137"/>
      <c r="BA97" s="1137"/>
      <c r="BB97" s="1137" t="s">
        <v>43</v>
      </c>
      <c r="BC97" s="1137">
        <f>AQ97</f>
        <v>2016</v>
      </c>
      <c r="BD97" s="1137">
        <f t="shared" ref="BD97:BI97" si="4">BC97+1</f>
        <v>2017</v>
      </c>
      <c r="BE97" s="1137">
        <f t="shared" si="4"/>
        <v>2018</v>
      </c>
      <c r="BF97" s="1137">
        <f t="shared" si="4"/>
        <v>2019</v>
      </c>
      <c r="BG97" s="1137">
        <f t="shared" si="4"/>
        <v>2020</v>
      </c>
      <c r="BH97" s="1137">
        <f t="shared" si="4"/>
        <v>2021</v>
      </c>
      <c r="BI97" s="1137">
        <f t="shared" si="4"/>
        <v>2022</v>
      </c>
      <c r="BJ97" s="1137"/>
      <c r="BK97" s="1137"/>
      <c r="BL97" s="1137"/>
      <c r="BM97" s="1137"/>
      <c r="BN97" s="1137" t="s">
        <v>44</v>
      </c>
      <c r="BO97" s="1137">
        <f>BC97</f>
        <v>2016</v>
      </c>
      <c r="BP97" s="1137">
        <f t="shared" ref="BP97:BU97" si="5">BO97+1</f>
        <v>2017</v>
      </c>
      <c r="BQ97" s="1137">
        <f t="shared" si="5"/>
        <v>2018</v>
      </c>
      <c r="BR97" s="1137">
        <f t="shared" si="5"/>
        <v>2019</v>
      </c>
      <c r="BS97" s="1137">
        <f t="shared" si="5"/>
        <v>2020</v>
      </c>
      <c r="BT97" s="1137">
        <f t="shared" si="5"/>
        <v>2021</v>
      </c>
      <c r="BU97" s="1137">
        <f t="shared" si="5"/>
        <v>2022</v>
      </c>
      <c r="BV97" s="1137"/>
      <c r="BW97" s="1137"/>
      <c r="BX97" s="1137"/>
      <c r="BY97" s="836"/>
      <c r="BZ97" s="836"/>
      <c r="CA97" s="836"/>
      <c r="CB97" s="836"/>
      <c r="CC97" s="837"/>
    </row>
    <row r="98" spans="1:81" s="1086" customFormat="1">
      <c r="A98" s="1086" t="s">
        <v>405</v>
      </c>
      <c r="Q98" s="1138">
        <v>1</v>
      </c>
      <c r="R98" s="1139" t="s">
        <v>379</v>
      </c>
      <c r="S98" s="1139">
        <f>IF(1*ISERROR(VLOOKUP(R98,C46:Q55,15,FALSE))=1,0,VLOOKUP(R98,C46:Q55,15,FALSE))</f>
        <v>2</v>
      </c>
      <c r="T98" s="1139">
        <f>IF(1*ISERROR(VLOOKUP(R98,E46:Q55,13,FALSE))=1,0,VLOOKUP(R98,E46:Q55,13,FALSE))</f>
        <v>2</v>
      </c>
      <c r="U98" s="1139">
        <f>IF(1*ISERROR(VLOOKUP(R98,G46:Q55,11,FALSE))=1,0,VLOOKUP(R98,G46:Q55,11,FALSE))</f>
        <v>3</v>
      </c>
      <c r="V98" s="1139">
        <f>IF(1*ISERROR(VLOOKUP(R98,I46:Q55,9,FALSE))=1,0,VLOOKUP(R98,I46:Q55,9,FALSE))</f>
        <v>3</v>
      </c>
      <c r="W98" s="1139">
        <f>IF(1*ISERROR(VLOOKUP(R98,K46:Q55,7,FALSE))=1,0,VLOOKUP(R98,K46:Q55,7,FALSE))</f>
        <v>3</v>
      </c>
      <c r="X98" s="1139">
        <f>IF(1*ISERROR(VLOOKUP(R98,M45:Q54,5,FALSE))=1,0,VLOOKUP(R98,M45:Q54,5,FALSE))</f>
        <v>4</v>
      </c>
      <c r="Y98" s="1139">
        <f>IF(1*ISERROR(VLOOKUP(R98,M46:Q55,5,FALSE))=1,0,VLOOKUP(R98,M46:Q55,5,FALSE))</f>
        <v>4</v>
      </c>
      <c r="Z98" s="1139">
        <f>SUM(S98:X98)</f>
        <v>17</v>
      </c>
      <c r="AA98" s="1139">
        <f>IF(Z98=0,35,_xlfn.RANK.EQ(Z98,Z98:Z132))</f>
        <v>10</v>
      </c>
      <c r="AB98" s="1139">
        <f>IF(AA98=35,35,AA98)</f>
        <v>10</v>
      </c>
      <c r="AC98" s="1139">
        <f>_xlfn.RANK.EQ(AB98,AB$98:AB$132,1)</f>
        <v>10</v>
      </c>
      <c r="AD98" s="1139" t="s">
        <v>379</v>
      </c>
      <c r="AE98" s="1139">
        <f>IF(1*ISERROR(VLOOKUP(R98,C56:Q65,15,FALSE)-10)=1,0,VLOOKUP(R98,C56:Q65,15,FALSE)-10)</f>
        <v>1</v>
      </c>
      <c r="AF98" s="1139">
        <f>IF(1*ISERROR(VLOOKUP(R98,E56:Q65,13,FALSE)-10)=1,0,VLOOKUP(R98,E56:Q65,13,FALSE)-10)</f>
        <v>1</v>
      </c>
      <c r="AG98" s="1139">
        <f>IF(1*ISERROR(VLOOKUP(R98,G56:Q65,11,FALSE)-10)=1,0,VLOOKUP(R98,G56:Q65,11,FALSE)-10)</f>
        <v>1</v>
      </c>
      <c r="AH98" s="1139">
        <f>IF(1*ISERROR(VLOOKUP(R98,I56:Q65,9,FALSE)-10)=1,0,VLOOKUP(R98,I56:Q65,9,FALSE)-10)</f>
        <v>1</v>
      </c>
      <c r="AI98" s="1139">
        <f>IF(1*ISERROR(VLOOKUP(R98,K56:Q65,7,FALSE)-10)=1,0,VLOOKUP(R98,K56:Q65,7,FALSE)-10)</f>
        <v>1</v>
      </c>
      <c r="AJ98" s="1139">
        <f>IF(1*ISERROR(VLOOKUP(R98,M56:Q65,5,FALSE)-10)=1,0,VLOOKUP(R98,M56:Q65,5,FALSE)-10)</f>
        <v>1</v>
      </c>
      <c r="AK98" s="1140">
        <f>IF(1*ISERROR(VLOOKUP(R98,M56:R65,5,FALSE)-10)=1,0,VLOOKUP(R98,M56:R65,5,FALSE)-10)</f>
        <v>1</v>
      </c>
      <c r="AL98" s="1139">
        <f>SUM(AE98:AK98)</f>
        <v>7</v>
      </c>
      <c r="AM98" s="1139">
        <f>IF(AL98=0,35,_xlfn.RANK.EQ(AL98,AL98:AL132))</f>
        <v>11</v>
      </c>
      <c r="AN98" s="1139">
        <f>IF(AM98=35,35,AM98)</f>
        <v>11</v>
      </c>
      <c r="AO98" s="1139">
        <f>_xlfn.RANK.EQ(AN98,AN$98:AN$132,1)</f>
        <v>11</v>
      </c>
      <c r="AP98" s="1139" t="s">
        <v>379</v>
      </c>
      <c r="AQ98" s="1139">
        <f>IF(1*ISERROR(VLOOKUP(R98,C66:Q75,15,FALSE)-20)=1,0,VLOOKUP(R98,C66:Q75,15,FALSE)-20)</f>
        <v>1</v>
      </c>
      <c r="AR98" s="1139">
        <f>IF(1*ISERROR(VLOOKUP(R98,E66:Q75,13,FALSE)-20)=1,0,VLOOKUP(R98,E66:Q75,13,FALSE)-20)</f>
        <v>1</v>
      </c>
      <c r="AS98" s="1139">
        <f>IF(1*ISERROR(VLOOKUP(R98,G66:Q75,11,FALSE)-20)=1,0,VLOOKUP(R98,G66:Q75,11,FALSE)-20)</f>
        <v>1</v>
      </c>
      <c r="AT98" s="1139">
        <f>IF(1*ISERROR(VLOOKUP(R98,I66:Q75,9,FALSE)-20)=1,0,VLOOKUP(R98,I66:Q75,9,FALSE)-20)</f>
        <v>1</v>
      </c>
      <c r="AU98" s="1139">
        <f>IF(1*ISERROR(VLOOKUP(R98,K66:Q75,7,FALSE)-20)=1,0,VLOOKUP(R98,K66:Q75,7,FALSE)-20)</f>
        <v>1</v>
      </c>
      <c r="AV98" s="1139">
        <f>IF(1*ISERROR(VLOOKUP(R98,M66:Q75,5,FALSE)-20)=1,0,VLOOKUP(R98,M66:Q75,5,FALSE)-20)</f>
        <v>1</v>
      </c>
      <c r="AW98" s="1139">
        <f>IF(1*ISERROR(VLOOKUP(R98,M66:R75,5,FALSE)-20)=1,0,VLOOKUP(R98,M66:R75,5,FALSE)-20)</f>
        <v>1</v>
      </c>
      <c r="AX98" s="1139">
        <f>SUM(AQ98:AW98)</f>
        <v>7</v>
      </c>
      <c r="AY98" s="1139">
        <f>IF(AX98=0,35,_xlfn.RANK.EQ(AX98,AX98:AX132))</f>
        <v>12</v>
      </c>
      <c r="AZ98" s="1139">
        <f>IF(AY98=35,35,AY98)</f>
        <v>12</v>
      </c>
      <c r="BA98" s="1139">
        <f>_xlfn.RANK.EQ(AZ98,AZ$98:AZ$132,1)</f>
        <v>12</v>
      </c>
      <c r="BB98" s="1139" t="s">
        <v>379</v>
      </c>
      <c r="BC98" s="1139">
        <f>IF(1*ISERROR(VLOOKUP(R98,C76:Q85,15,FALSE)-30)=1,0,VLOOKUP(R98,C76:Q85,15,FALSE)-30)</f>
        <v>1</v>
      </c>
      <c r="BD98" s="1139">
        <f>IF(1*ISERROR(VLOOKUP(R98,E76:Q85,13,FALSE)-30)=1,0,VLOOKUP(R98,E76:Q85,13,FALSE)-30)</f>
        <v>1</v>
      </c>
      <c r="BE98" s="1139">
        <f>IF(1*ISERROR(VLOOKUP(R98,G76:Q85,11,FALSE)-30)=1,0,VLOOKUP(R98,G76:Q85,11,FALSE)-30)</f>
        <v>2</v>
      </c>
      <c r="BF98" s="1139">
        <f>IF(1*ISERROR(VLOOKUP(R98,I76:Q85,9,FALSE)-30)=1,0,VLOOKUP(R98,I76:Q85,9,FALSE)-30)</f>
        <v>2</v>
      </c>
      <c r="BG98" s="1139">
        <f>IF(1*ISERROR(VLOOKUP(R98,K76:Q85,7,FALSE)-30)=1,0,VLOOKUP(R98,K76:Q85,7,FALSE)-30)</f>
        <v>3</v>
      </c>
      <c r="BH98" s="1139">
        <f>IF(1*ISERROR(VLOOKUP(R98,M76:Q85,5,FALSE)-30)=1,0,VLOOKUP(R98,M76:Q85,5,FALSE)-30)</f>
        <v>4</v>
      </c>
      <c r="BI98" s="1139">
        <f>IF(1*ISERROR(VLOOKUP(R98,M76:R85,5,FALSE)-30)=1,0,VLOOKUP(R98,M76:R85,5,FALSE)-30)</f>
        <v>4</v>
      </c>
      <c r="BJ98" s="1139">
        <f>SUM(BC98:BI98)</f>
        <v>17</v>
      </c>
      <c r="BK98" s="1139">
        <f>IF(BJ98=0,35,_xlfn.RANK.EQ(BJ98,BJ$98:BJ$132))</f>
        <v>10</v>
      </c>
      <c r="BL98" s="1139">
        <f>IF(BK98=35,35,BK98)</f>
        <v>10</v>
      </c>
      <c r="BM98" s="1139">
        <f>_xlfn.RANK.EQ(BL98,BL$98:BL$132,1)</f>
        <v>10</v>
      </c>
      <c r="BN98" s="1139" t="s">
        <v>379</v>
      </c>
      <c r="BO98" s="1139">
        <f>IF(1*ISERROR(VLOOKUP(R98,C86:Q95,15,FALSE)-40)=1,0,VLOOKUP(R98,C86:Q95,15,FALSE)-40)</f>
        <v>3</v>
      </c>
      <c r="BP98" s="1139">
        <f>IF(1*ISERROR(VLOOKUP(R98,E86:Q95,13,FALSE)-40)=1,0,VLOOKUP(R98,E86:Q95,13,FALSE)-40)</f>
        <v>3</v>
      </c>
      <c r="BQ98" s="1139">
        <f>IF(1*ISERROR(VLOOKUP(R98,G86:Q95,11,FALSE)-40)=1,0,VLOOKUP(R98,G86:Q95,11,FALSE)-40)</f>
        <v>3</v>
      </c>
      <c r="BR98" s="1139">
        <f>IF(1*ISERROR(VLOOKUP(R98,I86:Q95,9,FALSE)-40)=1,0,VLOOKUP(R98,I86:Q95,9,FALSE)-40)</f>
        <v>3</v>
      </c>
      <c r="BS98" s="1139">
        <f>IF(1*ISERROR(VLOOKUP(R98,K86:Q95,7,FALSE)-40)=1,0,VLOOKUP(R98,K86:Q95,7,FALSE)-40)</f>
        <v>3</v>
      </c>
      <c r="BT98" s="1139">
        <f>IF(1*ISERROR(VLOOKUP(R98,M86:Q95,5,FALSE)-40)=1,0,VLOOKUP(R98,M86:Q95,5,FALSE)-40)</f>
        <v>4</v>
      </c>
      <c r="BU98" s="1139">
        <f>IF(1*ISERROR(VLOOKUP(R98,M86:R95,5,FALSE)-40)=1,0,VLOOKUP(R98,M86:R95,5,FALSE)-40)</f>
        <v>4</v>
      </c>
      <c r="BV98" s="1139">
        <f>SUM(BO98:BU98)</f>
        <v>23</v>
      </c>
      <c r="BW98" s="1139">
        <f>IF(BV98=0,35,_xlfn.RANK.EQ(BV98,BV98:BV132))</f>
        <v>8</v>
      </c>
      <c r="BX98" s="1139">
        <f>IF(BW98=35,35,BW98)</f>
        <v>8</v>
      </c>
      <c r="BY98" s="1139">
        <f>_xlfn.RANK.EQ(BX98,BX$98:BX$132,1)</f>
        <v>8</v>
      </c>
      <c r="BZ98" s="1139" t="s">
        <v>379</v>
      </c>
      <c r="CA98" s="1098"/>
      <c r="CB98" s="1098"/>
      <c r="CC98" s="839"/>
    </row>
    <row r="99" spans="1:81" s="1086" customFormat="1">
      <c r="Q99" s="1138">
        <f t="shared" ref="Q99:Q162" si="6">Q98+1</f>
        <v>2</v>
      </c>
      <c r="R99" s="1139" t="s">
        <v>392</v>
      </c>
      <c r="S99" s="1139">
        <f>IF(1*ISERROR(VLOOKUP(R99,C46:Q55,15,FALSE))=1,0,VLOOKUP(R99,C46:Q55,15,FALSE))</f>
        <v>0</v>
      </c>
      <c r="T99" s="1139">
        <f>IF(1*ISERROR(VLOOKUP(R99,E46:Q55,13,FALSE))=1,0,VLOOKUP(R99,E46:Q55,13,FALSE))</f>
        <v>0</v>
      </c>
      <c r="U99" s="1139">
        <f>IF(1*ISERROR(VLOOKUP(R99,G46:Q55,11,FALSE))=1,0,VLOOKUP(R99,G46:Q55,11,FALSE))</f>
        <v>0</v>
      </c>
      <c r="V99" s="1139">
        <f>IF(1*ISERROR(VLOOKUP(R99,I46:Q55,9,FALSE))=1,0,VLOOKUP(R99,I46:Q55,9,FALSE))</f>
        <v>0</v>
      </c>
      <c r="W99" s="1139">
        <f>IF(1*ISERROR(VLOOKUP(R99,K46:Q55,7,FALSE))=1,0,VLOOKUP(R99,K46:Q55,7,FALSE))</f>
        <v>0</v>
      </c>
      <c r="X99" s="1139">
        <f>IF(1*ISERROR(VLOOKUP(R99,M46:Q55,5,FALSE))=1,0,VLOOKUP(R99,M46:Q55,5,FALSE))</f>
        <v>0</v>
      </c>
      <c r="Y99" s="1139">
        <f>IF(1*ISERROR(VLOOKUP(R99,M46:Q55,5,FALSE))=1,0,VLOOKUP(R99,M46:Q55,5,FALSE))</f>
        <v>0</v>
      </c>
      <c r="Z99" s="1139">
        <f t="shared" ref="Z99:Z132" si="7">SUM(S99:X99)</f>
        <v>0</v>
      </c>
      <c r="AA99" s="1139">
        <f>IF(Z99=0,35,_xlfn.RANK.EQ(Z99,Z98:Z132))</f>
        <v>35</v>
      </c>
      <c r="AB99" s="1139">
        <f>IF(AA99=35,35,AA99+COUNTIF(AA$98:AA98,AA99)/COUNTIF(AA$98:AA$132,AA99))</f>
        <v>35</v>
      </c>
      <c r="AC99" s="1139">
        <f t="shared" ref="AC99:AC132" si="8">_xlfn.RANK.EQ(AB99,AB$98:AB$132,1)</f>
        <v>13</v>
      </c>
      <c r="AD99" s="1139" t="s">
        <v>392</v>
      </c>
      <c r="AE99" s="1139">
        <f>IF(1*ISERROR(VLOOKUP(R99,C56:Q65,15,FALSE)-10)=1,0,VLOOKUP(R99,C56:Q65,15,FALSE)-10)</f>
        <v>9</v>
      </c>
      <c r="AF99" s="1139">
        <f>IF(1*ISERROR(VLOOKUP(R99,E56:Q65,13,FALSE)-10)=1,0,VLOOKUP(R99,E56:Q65,13,FALSE)-10)</f>
        <v>9</v>
      </c>
      <c r="AG99" s="1139">
        <f>IF(1*ISERROR(VLOOKUP(R99,G56:Q65,11,FALSE)-10)=1,0,VLOOKUP(R99,G56:Q65,11,FALSE)-10)</f>
        <v>9</v>
      </c>
      <c r="AH99" s="1139">
        <f>IF(1*ISERROR(VLOOKUP(R99,I56:Q65,9,FALSE)-10)=1,0,VLOOKUP(R99,I56:Q65,9,FALSE)-10)</f>
        <v>8</v>
      </c>
      <c r="AI99" s="1139">
        <f>IF(1*ISERROR(VLOOKUP(R99,K56:Q65,7,FALSE)-10)=1,0,VLOOKUP(R99,K56:Q65,7,FALSE)-10)</f>
        <v>9</v>
      </c>
      <c r="AJ99" s="1139">
        <v>9</v>
      </c>
      <c r="AK99" s="1140">
        <v>9</v>
      </c>
      <c r="AL99" s="1139">
        <f>SUM(AE99:AK99)</f>
        <v>62</v>
      </c>
      <c r="AM99" s="1139">
        <f>IF(AL99=0,35,_xlfn.RANK.EQ(AL99,AL98:AL132))</f>
        <v>1</v>
      </c>
      <c r="AN99" s="1139">
        <f>IF(AM99=35,35,AM99+COUNTIF(AM$98:AM98,AM99)/COUNTIF(AM$98:AM$132,AM99))</f>
        <v>1</v>
      </c>
      <c r="AO99" s="1139">
        <f t="shared" ref="AO99:AO132" si="9">_xlfn.RANK.EQ(AN99,AN$98:AN$132,1)</f>
        <v>1</v>
      </c>
      <c r="AP99" s="1139" t="s">
        <v>392</v>
      </c>
      <c r="AQ99" s="1139">
        <f>IF(1*ISERROR(VLOOKUP(R99,C66:Q75,15,FALSE)-20)=1,0,VLOOKUP(R99,C66:Q75,15,FALSE)-20)</f>
        <v>9</v>
      </c>
      <c r="AR99" s="1139">
        <f>IF(1*ISERROR(VLOOKUP(R99,E66:Q75,13,FALSE)-20)=1,0,VLOOKUP(R99,E66:Q75,13,FALSE)-20)</f>
        <v>9</v>
      </c>
      <c r="AS99" s="1139">
        <f>IF(1*ISERROR(VLOOKUP(R99,G66:Q75,11,FALSE)-20)=1,0,VLOOKUP(R99,G66:Q75,11,FALSE)-20)</f>
        <v>0</v>
      </c>
      <c r="AT99" s="1139">
        <f>IF(1*ISERROR(VLOOKUP(R99,I66:Q75,9,FALSE)-20)=1,0,VLOOKUP(R99,I66:Q75,9,FALSE)-20)</f>
        <v>10</v>
      </c>
      <c r="AU99" s="1139">
        <f>IF(1*ISERROR(VLOOKUP(R99,K66:Q75,7,FALSE)-20)=1,0,VLOOKUP(R99,K66:Q75,7,FALSE)-20)</f>
        <v>10</v>
      </c>
      <c r="AV99" s="1139">
        <f>IF(1*ISERROR(VLOOKUP(R99,M66:Q75,5,FALSE)-20)=1,0,VLOOKUP(R99,M66:Q75,5,FALSE)-20)</f>
        <v>0</v>
      </c>
      <c r="AW99" s="1139">
        <v>9</v>
      </c>
      <c r="AX99" s="1139">
        <f t="shared" ref="AX99:AX132" si="10">SUM(AQ99:AW99)</f>
        <v>47</v>
      </c>
      <c r="AY99" s="1139">
        <f>IF(AX99=0,35,_xlfn.RANK.EQ(AX99,AX98:AX132))</f>
        <v>5</v>
      </c>
      <c r="AZ99" s="1139">
        <f>IF(AY99=35,35,AY99+COUNTIF(AY$98:AY98,AY99)/COUNTIF(AY$98:AY$132,AY99))</f>
        <v>5</v>
      </c>
      <c r="BA99" s="1139">
        <f t="shared" ref="BA99:BA132" si="11">_xlfn.RANK.EQ(AZ99,AZ$98:AZ$132,1)</f>
        <v>5</v>
      </c>
      <c r="BB99" s="1139" t="s">
        <v>392</v>
      </c>
      <c r="BC99" s="1139">
        <f>IF(1*ISERROR(VLOOKUP(R99,C76:Q85,15,FALSE)-30)=1,0,VLOOKUP(R99,C76:Q85,15,FALSE)-30)</f>
        <v>0</v>
      </c>
      <c r="BD99" s="1139">
        <f>IF(1*ISERROR(VLOOKUP(R99,E76:Q85,13,FALSE)-30)=1,0,VLOOKUP(R99,E76:Q85,13,FALSE)-30)</f>
        <v>0</v>
      </c>
      <c r="BE99" s="1139">
        <f>IF(1*ISERROR(VLOOKUP(R99,G76:Q85,11,FALSE)-30)=1,0,VLOOKUP(R99,G76:Q85,11,FALSE)-30)</f>
        <v>0</v>
      </c>
      <c r="BF99" s="1139">
        <f>IF(1*ISERROR(VLOOKUP(R99,I76:Q85,9,FALSE)-30)=1,0,VLOOKUP(R99,I76:Q85,9,FALSE)-30)</f>
        <v>8</v>
      </c>
      <c r="BG99" s="1139">
        <f>IF(1*ISERROR(VLOOKUP(R99,K76:Q85,7,FALSE)-30)=1,0,VLOOKUP(R99,K76:Q85,7,FALSE)-30)</f>
        <v>0</v>
      </c>
      <c r="BH99" s="1139">
        <f>IF(1*ISERROR(VLOOKUP(R99,M76:Q85,5,FALSE)-30)=1,0,VLOOKUP(R99,M76:Q85,5,FALSE)-30)</f>
        <v>0</v>
      </c>
      <c r="BI99" s="1139">
        <f>IF(1*ISERROR(VLOOKUP(S99,M76:R85,5,FALSE)-30)=1,0,VLOOKUP(S99,M76:R85,5,FALSE)-30)</f>
        <v>0</v>
      </c>
      <c r="BJ99" s="1139">
        <f>SUM(BC99:BI99)</f>
        <v>8</v>
      </c>
      <c r="BK99" s="1139">
        <f t="shared" ref="BK99:BK132" si="12">IF(BJ99=0,35,_xlfn.RANK.EQ(BJ99,BJ$98:BJ$132))</f>
        <v>11</v>
      </c>
      <c r="BL99" s="1139">
        <f>IF(BK99=35,35,BK99+COUNTIF(BK$98:BK98,BK99)/COUNTIF(BK$98:BK$132,BK99))</f>
        <v>11</v>
      </c>
      <c r="BM99" s="1139">
        <f t="shared" ref="BM99:BM132" si="13">_xlfn.RANK.EQ(BL99,BL$98:BL$132,1)</f>
        <v>11</v>
      </c>
      <c r="BN99" s="1139" t="s">
        <v>392</v>
      </c>
      <c r="BO99" s="1139">
        <f>IF(1*ISERROR(VLOOKUP(R99,C86:Q95,15,FALSE)-40)=1,0,VLOOKUP(R99,C86:Q95,15,FALSE)-40)</f>
        <v>6</v>
      </c>
      <c r="BP99" s="1139">
        <f>IF(1*ISERROR(VLOOKUP(R99,E86:Q95,13,FALSE)-40)=1,0,VLOOKUP(R99,E86:Q95,13,FALSE)-40)</f>
        <v>6</v>
      </c>
      <c r="BQ99" s="1139">
        <f>IF(1*ISERROR(VLOOKUP(R99,G86:Q95,11,FALSE)-40)=1,0,VLOOKUP(R99,G86:Q95,11,FALSE)-40)</f>
        <v>6</v>
      </c>
      <c r="BR99" s="1139">
        <f>IF(1*ISERROR(VLOOKUP(R99,I86:Q95,9,FALSE)-40)=1,0,VLOOKUP(R99,I86:Q95,9,FALSE)-40)</f>
        <v>6</v>
      </c>
      <c r="BS99" s="1139">
        <f>IF(1*ISERROR(VLOOKUP(R99,K86:Q95,7,FALSE)-40)=1,0,VLOOKUP(R99,K86:Q95,7,FALSE)-40)</f>
        <v>6</v>
      </c>
      <c r="BT99" s="1139">
        <f>IF(1*ISERROR(VLOOKUP(R99,M86:Q95,5,FALSE)-40)=1,0,VLOOKUP(R99,M86:Q95,5,FALSE)-40)</f>
        <v>6</v>
      </c>
      <c r="BU99" s="1139">
        <f>IF(1*ISERROR(VLOOKUP(R99,M87:R96,5,FALSE)-40)=1,0,VLOOKUP(R99,M87:R96,5,FALSE)-40)</f>
        <v>6</v>
      </c>
      <c r="BV99" s="1139">
        <f>SUM(BO99:BU99)</f>
        <v>42</v>
      </c>
      <c r="BW99" s="1139">
        <f>IF(BV99=0,35,_xlfn.RANK.EQ(BV99,BV98:BV132))</f>
        <v>5</v>
      </c>
      <c r="BX99" s="1139">
        <f>IF(BW99=35,35,BW99+COUNTIF(BW$98:BW98,BW99)/COUNTIF(BW$98:BW$132,BW99))</f>
        <v>5</v>
      </c>
      <c r="BY99" s="1139">
        <f t="shared" ref="BY99:BY132" si="14">_xlfn.RANK.EQ(BX99,BX$98:BX$132,1)</f>
        <v>5</v>
      </c>
      <c r="BZ99" s="1139" t="s">
        <v>392</v>
      </c>
      <c r="CA99" s="1098"/>
      <c r="CB99" s="1098"/>
      <c r="CC99" s="839"/>
    </row>
    <row r="100" spans="1:81" s="1086" customFormat="1">
      <c r="Q100" s="1138">
        <f t="shared" si="6"/>
        <v>3</v>
      </c>
      <c r="R100" s="1139" t="s">
        <v>403</v>
      </c>
      <c r="S100" s="1139">
        <f>IF(1*ISERROR(VLOOKUP(R100,C46:Q55,15,FALSE))=1,0,VLOOKUP(R100,C46:Q55,15,FALSE))</f>
        <v>0</v>
      </c>
      <c r="T100" s="1139">
        <f>IF(1*ISERROR(VLOOKUP(R100,E46:Q55,13,FALSE))=1,0,VLOOKUP(R100,E46:Q55,13,FALSE))</f>
        <v>0</v>
      </c>
      <c r="U100" s="1139">
        <f>IF(1*ISERROR(VLOOKUP(R100,G46:Q55,11,FALSE))=1,0,VLOOKUP(R100,G46:Q55,11,FALSE))</f>
        <v>10</v>
      </c>
      <c r="V100" s="1139">
        <f>IF(1*ISERROR(VLOOKUP(R100,I46:Q55,9,FALSE))=1,0,VLOOKUP(R100,I46:Q55,9,FALSE))</f>
        <v>9</v>
      </c>
      <c r="W100" s="1139">
        <f>IF(1*ISERROR(VLOOKUP(R100,K46:Q55,7,FALSE))=1,0,VLOOKUP(R100,K46:Q55,7,FALSE))</f>
        <v>0</v>
      </c>
      <c r="X100" s="1139">
        <f>IF(1*ISERROR(VLOOKUP(R100,M46:Q55,5,FALSE))=1,0,VLOOKUP(R100,M46:Q55,5,FALSE))</f>
        <v>0</v>
      </c>
      <c r="Y100" s="1139">
        <f>IF(1*ISERROR(VLOOKUP(R100,M46:Q55,5,FALSE))=1,0,VLOOKUP(R100,M46:Q55,5,FALSE))</f>
        <v>0</v>
      </c>
      <c r="Z100" s="1139">
        <f t="shared" si="7"/>
        <v>19</v>
      </c>
      <c r="AA100" s="1139">
        <f>IF(Z100=0,35,_xlfn.RANK.EQ(Z100,Z98:Z132))</f>
        <v>9</v>
      </c>
      <c r="AB100" s="1139">
        <f>IF(AA100=35,35,AA100+COUNTIF(AA$98:AA99,AA100)/COUNTIF(AA$98:AA$132,AA100))</f>
        <v>9</v>
      </c>
      <c r="AC100" s="1139">
        <f t="shared" si="8"/>
        <v>9</v>
      </c>
      <c r="AD100" s="1139" t="s">
        <v>403</v>
      </c>
      <c r="AE100" s="1139">
        <f>IF(1*ISERROR(VLOOKUP(R100,C56:Q65,15,FALSE)-10)=1,0,VLOOKUP(R100,C56:Q65,15,FALSE)-10)</f>
        <v>0</v>
      </c>
      <c r="AF100" s="1139">
        <f>IF(1*ISERROR(VLOOKUP(R100,E56:Q65,13,FALSE)-10)=1,0,VLOOKUP(R100,E56:Q65,13,FALSE)-10)</f>
        <v>0</v>
      </c>
      <c r="AG100" s="1139">
        <f>IF(1*ISERROR(VLOOKUP(R100,G56:Q65,11,FALSE)-10)=1,0,VLOOKUP(R100,G56:Q65,11,FALSE)-10)</f>
        <v>0</v>
      </c>
      <c r="AH100" s="1139">
        <f>IF(1*ISERROR(VLOOKUP(R100,I56:Q65,9,FALSE)-10)=1,0,VLOOKUP(R100,I56:Q65,9,FALSE)-10)</f>
        <v>0</v>
      </c>
      <c r="AI100" s="1139">
        <f>IF(1*ISERROR(VLOOKUP(R100,K56:Q65,7,FALSE)-10)=1,0,VLOOKUP(R100,K56:Q65,7,FALSE)-10)</f>
        <v>0</v>
      </c>
      <c r="AJ100" s="1139">
        <f>IF(1*ISERROR(VLOOKUP(R100,M56:Q65,5,FALSE)-10)=1,0,VLOOKUP(R100,M56:Q65,5,FALSE)-10)</f>
        <v>0</v>
      </c>
      <c r="AK100" s="1140">
        <f>IF(1*ISERROR(VLOOKUP(S100,N56:R65,5,FALSE)-10)=1,0,VLOOKUP(S100,N56:R65,5,FALSE)-10)</f>
        <v>0</v>
      </c>
      <c r="AL100" s="1139">
        <f t="shared" ref="AL100:AL132" si="15">SUM(AE100:AJ100)</f>
        <v>0</v>
      </c>
      <c r="AM100" s="1139">
        <f>IF(AL100=0,35,_xlfn.RANK.EQ(AL100,AL98:AL132))</f>
        <v>35</v>
      </c>
      <c r="AN100" s="1139">
        <f>IF(AM100=35,35,AM100+COUNTIF(AM$98:AM99,AM100)/COUNTIF(AM$98:AM$132,AM100))</f>
        <v>35</v>
      </c>
      <c r="AO100" s="1139">
        <f t="shared" si="9"/>
        <v>12</v>
      </c>
      <c r="AP100" s="1139" t="s">
        <v>403</v>
      </c>
      <c r="AQ100" s="1139">
        <f>IF(1*ISERROR(VLOOKUP(R100,C66:Q75,15,FALSE)-20)=1,0,VLOOKUP(R100,C66:Q75,15,FALSE)-20)</f>
        <v>0</v>
      </c>
      <c r="AR100" s="1139">
        <f>IF(1*ISERROR(VLOOKUP(R100,E66:Q75,13,FALSE)-20)=1,0,VLOOKUP(R100,E66:Q75,13,FALSE)-20)</f>
        <v>0</v>
      </c>
      <c r="AS100" s="1139">
        <f>IF(1*ISERROR(VLOOKUP(R100,G66:Q75,11,FALSE)-20)=1,0,VLOOKUP(R100,G66:Q75,11,FALSE)-20)</f>
        <v>0</v>
      </c>
      <c r="AT100" s="1139">
        <f>IF(1*ISERROR(VLOOKUP(R100,I66:Q75,9,FALSE)-20)=1,0,VLOOKUP(R100,I66:Q75,9,FALSE)-20)</f>
        <v>0</v>
      </c>
      <c r="AU100" s="1139">
        <f>IF(1*ISERROR(VLOOKUP(R100,K66:Q75,7,FALSE)-20)=1,0,VLOOKUP(R100,K66:Q75,7,FALSE)-20)</f>
        <v>0</v>
      </c>
      <c r="AV100" s="1139">
        <f>IF(1*ISERROR(VLOOKUP(R100,M66:Q75,5,FALSE)-20)=1,0,VLOOKUP(R100,M66:Q75,5,FALSE)-20)</f>
        <v>0</v>
      </c>
      <c r="AW100" s="1139">
        <f t="shared" ref="AW100:AW131" si="16">IF(1*ISERROR(VLOOKUP(R100,M68:R77,5,FALSE)-20)=1,0,VLOOKUP(R100,M68:R77,5,FALSE)-20)</f>
        <v>0</v>
      </c>
      <c r="AX100" s="1139">
        <f t="shared" si="10"/>
        <v>0</v>
      </c>
      <c r="AY100" s="1139">
        <f>IF(AX100=0,35,_xlfn.RANK.EQ(AX100,AX98:AX132))</f>
        <v>35</v>
      </c>
      <c r="AZ100" s="1139">
        <f>IF(AY100=35,35,AY100+COUNTIF(AY$98:AY99,AY100)/COUNTIF(AY$98:AY$132,AY100))</f>
        <v>35</v>
      </c>
      <c r="BA100" s="1139">
        <f t="shared" si="11"/>
        <v>13</v>
      </c>
      <c r="BB100" s="1139" t="s">
        <v>403</v>
      </c>
      <c r="BC100" s="1139">
        <f>IF(1*ISERROR(VLOOKUP(R100,C76:Q85,15,FALSE)-30)=1,0,VLOOKUP(R100,C76:Q85,15,FALSE)-30)</f>
        <v>0</v>
      </c>
      <c r="BD100" s="1139">
        <f>IF(1*ISERROR(VLOOKUP(R100,E76:Q85,13,FALSE)-30)=1,0,VLOOKUP(R100,E76:Q85,13,FALSE)-30)</f>
        <v>0</v>
      </c>
      <c r="BE100" s="1139">
        <f>IF(1*ISERROR(VLOOKUP(R100,G76:Q85,11,FALSE)-30)=1,0,VLOOKUP(R100,G76:Q85,11,FALSE)-30)</f>
        <v>0</v>
      </c>
      <c r="BF100" s="1139">
        <f>IF(1*ISERROR(VLOOKUP(R100,I76:Q85,9,FALSE)-30)=1,0,VLOOKUP(R100,I76:Q85,9,FALSE)-30)</f>
        <v>0</v>
      </c>
      <c r="BG100" s="1139">
        <f>IF(1*ISERROR(VLOOKUP(R100,K76:Q85,7,FALSE)-30)=1,0,VLOOKUP(R100,K76:Q85,7,FALSE)-30)</f>
        <v>0</v>
      </c>
      <c r="BH100" s="1139">
        <f>IF(1*ISERROR(VLOOKUP(R100,M76:Q85,5,FALSE)-30)=1,0,VLOOKUP(R100,M76:Q85,5,FALSE)-30)</f>
        <v>0</v>
      </c>
      <c r="BI100" s="1139">
        <f>IF(1*ISERROR(VLOOKUP(S100,M77:R86,5,FALSE)-30)=1,0,VLOOKUP(S100,M77:R86,5,FALSE)-30)</f>
        <v>0</v>
      </c>
      <c r="BJ100" s="1139">
        <f>SUM(BC100:BI100)</f>
        <v>0</v>
      </c>
      <c r="BK100" s="1139">
        <f t="shared" si="12"/>
        <v>35</v>
      </c>
      <c r="BL100" s="1139">
        <f>IF(BK100=35,35,BK100+COUNTIF(BK$98:BK99,BK100)/COUNTIF(BK$98:BK$132,BK100))</f>
        <v>35</v>
      </c>
      <c r="BM100" s="1139">
        <f t="shared" si="13"/>
        <v>13</v>
      </c>
      <c r="BN100" s="1139" t="s">
        <v>403</v>
      </c>
      <c r="BO100" s="1139">
        <f>IF(1*ISERROR(VLOOKUP(R100,C86:Q95,15,FALSE)-40)=1,0,VLOOKUP(R100,C86:Q95,15,FALSE)-40)</f>
        <v>9</v>
      </c>
      <c r="BP100" s="1139">
        <f>IF(1*ISERROR(VLOOKUP(R100,E86:Q95,13,FALSE)-40)=1,0,VLOOKUP(R100,E86:Q95,13,FALSE)-40)</f>
        <v>9</v>
      </c>
      <c r="BQ100" s="1139">
        <f>IF(1*ISERROR(VLOOKUP(R100,G86:Q95,11,FALSE)-40)=1,0,VLOOKUP(R100,G86:Q95,11,FALSE)-40)</f>
        <v>9</v>
      </c>
      <c r="BR100" s="1139">
        <f>IF(1*ISERROR(VLOOKUP(R100,I86:Q95,9,FALSE)-40)=1,0,VLOOKUP(R100,I86:Q95,9,FALSE)-40)</f>
        <v>10</v>
      </c>
      <c r="BS100" s="1139">
        <f>IF(1*ISERROR(VLOOKUP(R100,K86:Q95,7,FALSE)-40)=1,0,VLOOKUP(R100,K86:Q95,7,FALSE)-40)</f>
        <v>10</v>
      </c>
      <c r="BT100" s="1139">
        <f>IF(1*ISERROR(VLOOKUP(R100,M86:Q95,5,FALSE)-40)=1,0,VLOOKUP(R100,M86:Q95,5,FALSE)-40)</f>
        <v>10</v>
      </c>
      <c r="BU100" s="1139">
        <f>IF(1*ISERROR(VLOOKUP(R100,M88:R97,5,FALSE)-40)=1,0,VLOOKUP(R100,M88:R97,5,FALSE)-40)</f>
        <v>10</v>
      </c>
      <c r="BV100" s="1139">
        <f>SUM(BO100:BU100)</f>
        <v>67</v>
      </c>
      <c r="BW100" s="1139">
        <f>IF(BV100=0,35,_xlfn.RANK.EQ(BV100,BV98:BV132))</f>
        <v>1</v>
      </c>
      <c r="BX100" s="1139">
        <f>IF(BW100=35,35,BW100+COUNTIF(BW$98:BW99,BW100)/COUNTIF(BW$98:BW$132,BW100))</f>
        <v>1</v>
      </c>
      <c r="BY100" s="1139">
        <f t="shared" si="14"/>
        <v>1</v>
      </c>
      <c r="BZ100" s="1139" t="s">
        <v>403</v>
      </c>
      <c r="CA100" s="1098"/>
      <c r="CB100" s="1098"/>
      <c r="CC100" s="839"/>
    </row>
    <row r="101" spans="1:81" s="1086" customFormat="1">
      <c r="Q101" s="1138">
        <f t="shared" si="6"/>
        <v>4</v>
      </c>
      <c r="R101" s="1139" t="s">
        <v>378</v>
      </c>
      <c r="S101" s="1139">
        <f>IF(1*ISERROR(VLOOKUP(R101,C46:Q55,15,FALSE))=1,0,VLOOKUP(R101,C46:Q55,15,FALSE))</f>
        <v>3</v>
      </c>
      <c r="T101" s="1139">
        <f>IF(1*ISERROR(VLOOKUP(R101,E46:Q55,13,FALSE))=1,0,VLOOKUP(R101,E46:Q55,13,FALSE))</f>
        <v>3</v>
      </c>
      <c r="U101" s="1139">
        <f>IF(1*ISERROR(VLOOKUP(R101,G46:Q55,11,FALSE))=1,0,VLOOKUP(R101,G46:Q55,11,FALSE))</f>
        <v>1</v>
      </c>
      <c r="V101" s="1139">
        <f>IF(1*ISERROR(VLOOKUP(R101,I46:Q55,9,FALSE))=1,0,VLOOKUP(R101,I46:Q55,9,FALSE))</f>
        <v>1</v>
      </c>
      <c r="W101" s="1139">
        <f>IF(1*ISERROR(VLOOKUP(R101,K46:Q55,7,FALSE))=1,0,VLOOKUP(R101,K46:Q55,7,FALSE))</f>
        <v>1</v>
      </c>
      <c r="X101" s="1139">
        <f>IF(1*ISERROR(VLOOKUP(R101,M46:Q55,5,FALSE))=1,0,VLOOKUP(R101,M46:Q55,5,FALSE))</f>
        <v>1</v>
      </c>
      <c r="Y101" s="1139">
        <f>IF(1*ISERROR(VLOOKUP(R101,M46:Q55,5,FALSE))=1,0,VLOOKUP(R101,M46:Q55,5,FALSE))</f>
        <v>1</v>
      </c>
      <c r="Z101" s="1139">
        <f t="shared" si="7"/>
        <v>10</v>
      </c>
      <c r="AA101" s="1139">
        <f>IF(Z101=0,35,_xlfn.RANK.EQ(Z101,Z98:Z132))</f>
        <v>11</v>
      </c>
      <c r="AB101" s="1139">
        <f>IF(AA101=35,35,AA101+COUNTIF(AA$98:AA100,AA101)/COUNTIF(AA$98:AA$132,AA101))</f>
        <v>11</v>
      </c>
      <c r="AC101" s="1139">
        <f t="shared" si="8"/>
        <v>11</v>
      </c>
      <c r="AD101" s="1139" t="s">
        <v>378</v>
      </c>
      <c r="AE101" s="1139">
        <f>IF(1*ISERROR(VLOOKUP(R101,C56:Q65,15,FALSE)-10)=1,0,VLOOKUP(R101,C56:Q65,15,FALSE)-10)</f>
        <v>0</v>
      </c>
      <c r="AF101" s="1139">
        <f>IF(1*ISERROR(VLOOKUP(R101,E56:Q65,13,FALSE)-10)=1,0,VLOOKUP(R101,E56:Q65,13,FALSE)-10)</f>
        <v>0</v>
      </c>
      <c r="AG101" s="1139">
        <f>IF(1*ISERROR(VLOOKUP(R101,G56:Q65,11,FALSE)-10)=1,0,VLOOKUP(R101,G56:Q65,11,FALSE)-10)</f>
        <v>0</v>
      </c>
      <c r="AH101" s="1139">
        <f>IF(1*ISERROR(VLOOKUP(R101,I56:Q65,9,FALSE)-10)=1,0,VLOOKUP(R101,I56:Q65,9,FALSE)-10)</f>
        <v>0</v>
      </c>
      <c r="AI101" s="1139">
        <f>IF(1*ISERROR(VLOOKUP(R101,K56:Q65,7,FALSE)-10)=1,0,VLOOKUP(R101,K56:Q65,7,FALSE)-10)</f>
        <v>0</v>
      </c>
      <c r="AJ101" s="1139">
        <f>IF(1*ISERROR(VLOOKUP(R101,M56:Q65,5,FALSE)-10)=1,0,VLOOKUP(R101,M56:Q65,5,FALSE)-10)</f>
        <v>0</v>
      </c>
      <c r="AK101" s="1140">
        <v>3</v>
      </c>
      <c r="AL101" s="1139">
        <f t="shared" si="15"/>
        <v>0</v>
      </c>
      <c r="AM101" s="1139">
        <f>IF(AL101=0,35,_xlfn.RANK.EQ(AL101,AL98:AL132))</f>
        <v>35</v>
      </c>
      <c r="AN101" s="1139">
        <f>IF(AM101=35,35,AM101+COUNTIF(AM$98:AM100,AM101)/COUNTIF(AM$98:AM$132,AM101))</f>
        <v>35</v>
      </c>
      <c r="AO101" s="1139">
        <f t="shared" si="9"/>
        <v>12</v>
      </c>
      <c r="AP101" s="1139" t="s">
        <v>378</v>
      </c>
      <c r="AQ101" s="1139">
        <f>IF(1*ISERROR(VLOOKUP(R101,C66:Q75,15,FALSE)-20)=1,0,VLOOKUP(R101,C66:Q75,15,FALSE)-20)</f>
        <v>7</v>
      </c>
      <c r="AR101" s="1139">
        <f>IF(1*ISERROR(VLOOKUP(R101,E66:Q75,13,FALSE)-20)=1,0,VLOOKUP(R101,E66:Q75,13,FALSE)-20)</f>
        <v>7</v>
      </c>
      <c r="AS101" s="1139">
        <f>IF(1*ISERROR(VLOOKUP(R101,G66:Q75,11,FALSE)-20)=1,0,VLOOKUP(R101,G66:Q75,11,FALSE)-20)</f>
        <v>8</v>
      </c>
      <c r="AT101" s="1139">
        <f>IF(1*ISERROR(VLOOKUP(R101,I66:Q75,9,FALSE)-20)=1,0,VLOOKUP(R101,I66:Q75,9,FALSE)-20)</f>
        <v>7</v>
      </c>
      <c r="AU101" s="1139">
        <f>IF(1*ISERROR(VLOOKUP(R101,K66:Q75,7,FALSE)-20)=1,0,VLOOKUP(R101,K66:Q75,7,FALSE)-20)</f>
        <v>7</v>
      </c>
      <c r="AV101" s="1139">
        <f>IF(1*ISERROR(VLOOKUP(R101,M66:Q75,5,FALSE)-20)=1,0,VLOOKUP(R101,M66:Q75,5,FALSE)-20)</f>
        <v>7</v>
      </c>
      <c r="AW101" s="1139">
        <f>IF(1*ISERROR(VLOOKUP(R101,M66:R78,5,FALSE)-20)=1,0,VLOOKUP(R101,M66:R78,5,FALSE)-20)</f>
        <v>7</v>
      </c>
      <c r="AX101" s="1139">
        <f t="shared" si="10"/>
        <v>50</v>
      </c>
      <c r="AY101" s="1139">
        <f>IF(AX101=0,35,_xlfn.RANK.EQ(AX101,AX98:AX132))</f>
        <v>2</v>
      </c>
      <c r="AZ101" s="1139">
        <f>IF(AY101=35,35,AY101+COUNTIF(AY$98:AY100,AY101)/COUNTIF(AY$98:AY$132,AY101))</f>
        <v>2</v>
      </c>
      <c r="BA101" s="1139">
        <f t="shared" si="11"/>
        <v>2</v>
      </c>
      <c r="BB101" s="1139" t="s">
        <v>378</v>
      </c>
      <c r="BC101" s="1139">
        <f>IF(1*ISERROR(VLOOKUP(R101,C76:Q85,15,FALSE)-30)=1,0,VLOOKUP(R101,C76:Q85,15,FALSE)-30)</f>
        <v>5</v>
      </c>
      <c r="BD101" s="1139">
        <f>IF(1*ISERROR(VLOOKUP(R101,E76:Q85,13,FALSE)-30)=1,0,VLOOKUP(R101,E76:Q85,13,FALSE)-30)</f>
        <v>5</v>
      </c>
      <c r="BE101" s="1139">
        <f>IF(1*ISERROR(VLOOKUP(R101,G76:Q85,11,FALSE)-30)=1,0,VLOOKUP(R101,G76:Q85,11,FALSE)-30)</f>
        <v>4</v>
      </c>
      <c r="BF101" s="1139">
        <f>IF(1*ISERROR(VLOOKUP(R101,I76:Q85,9,FALSE)-30)=1,0,VLOOKUP(R101,I76:Q85,9,FALSE)-30)</f>
        <v>4</v>
      </c>
      <c r="BG101" s="1139">
        <f>IF(1*ISERROR(VLOOKUP(R101,K76:Q85,7,FALSE)-30)=1,0,VLOOKUP(R101,K76:Q85,7,FALSE)-30)</f>
        <v>4</v>
      </c>
      <c r="BH101" s="1139">
        <f>IF(1*ISERROR(VLOOKUP(R101,M76:Q85,5,FALSE)-30)=1,0,VLOOKUP(R101,M76:Q85,5,FALSE)-30)</f>
        <v>3</v>
      </c>
      <c r="BI101" s="1139">
        <f>IF(1*ISERROR(VLOOKUP(R101,M76:R85,5,FALSE)-30)=1,0,VLOOKUP(R101,M76:R85,5,FALSE)-30)</f>
        <v>3</v>
      </c>
      <c r="BJ101" s="1139">
        <f>SUM(BC101:BI101)</f>
        <v>28</v>
      </c>
      <c r="BK101" s="1139">
        <f t="shared" si="12"/>
        <v>7</v>
      </c>
      <c r="BL101" s="1139">
        <f>IF(BK101=35,35,BK101+COUNTIF(BK$98:BK100,BK101)/COUNTIF(BK$98:BK$132,BK101))</f>
        <v>7</v>
      </c>
      <c r="BM101" s="1139">
        <f t="shared" si="13"/>
        <v>7</v>
      </c>
      <c r="BN101" s="1139" t="s">
        <v>378</v>
      </c>
      <c r="BO101" s="1139">
        <f>IF(1*ISERROR(VLOOKUP(R101,C86:Q95,15,FALSE)-40)=1,0,VLOOKUP(R101,C86:Q95,15,FALSE)-40)</f>
        <v>2</v>
      </c>
      <c r="BP101" s="1139">
        <f>IF(1*ISERROR(VLOOKUP(R101,E86:Q95,13,FALSE)-40)=1,0,VLOOKUP(R101,E86:Q95,13,FALSE)-40)</f>
        <v>2</v>
      </c>
      <c r="BQ101" s="1139">
        <f>IF(1*ISERROR(VLOOKUP(R101,G86:Q95,11,FALSE)-40)=1,0,VLOOKUP(R101,G86:Q95,11,FALSE)-40)</f>
        <v>2</v>
      </c>
      <c r="BR101" s="1139">
        <f>IF(1*ISERROR(VLOOKUP(R101,I86:Q95,9,FALSE)-40)=1,0,VLOOKUP(R101,I86:Q95,9,FALSE)-40)</f>
        <v>2</v>
      </c>
      <c r="BS101" s="1139">
        <f>IF(1*ISERROR(VLOOKUP(R101,K86:Q95,7,FALSE)-40)=1,0,VLOOKUP(R101,K86:Q95,7,FALSE)-40)</f>
        <v>2</v>
      </c>
      <c r="BT101" s="1139">
        <f>IF(1*ISERROR(VLOOKUP(R101,M86:Q95,5,FALSE)-40)=1,0,VLOOKUP(R101,M86:Q95,5,FALSE)-40)</f>
        <v>2</v>
      </c>
      <c r="BU101" s="1139">
        <f>IF(1*ISERROR(VLOOKUP(R101,M86:R95,5,FALSE)-40)=1,0,VLOOKUP(R101,M86:R95,5,FALSE)-40)</f>
        <v>2</v>
      </c>
      <c r="BV101" s="1139">
        <f>SUM(BO101:BU101)</f>
        <v>14</v>
      </c>
      <c r="BW101" s="1139">
        <f>IF(BV101=0,35,_xlfn.RANK.EQ(BV101,BV98:BV132))</f>
        <v>9</v>
      </c>
      <c r="BX101" s="1139">
        <f>IF(BW101=35,35,BW101+COUNTIF(BW$98:BW100,BW101)/COUNTIF(BW$98:BW$132,BW101))</f>
        <v>9</v>
      </c>
      <c r="BY101" s="1139">
        <f t="shared" si="14"/>
        <v>9</v>
      </c>
      <c r="BZ101" s="1139" t="s">
        <v>378</v>
      </c>
      <c r="CA101" s="1098"/>
      <c r="CB101" s="1098"/>
      <c r="CC101" s="839"/>
    </row>
    <row r="102" spans="1:81" s="1086" customFormat="1">
      <c r="Q102" s="1138">
        <f t="shared" si="6"/>
        <v>5</v>
      </c>
      <c r="R102" s="1139" t="s">
        <v>407</v>
      </c>
      <c r="S102" s="1139">
        <f>IF(1*ISERROR(VLOOKUP(R102,C46:Q55,15,FALSE))=1,0,VLOOKUP(R102,C46:Q55,15,FALSE))</f>
        <v>0</v>
      </c>
      <c r="T102" s="1139">
        <f>IF(1*ISERROR(VLOOKUP(R102,E46:Q55,13,FALSE))=1,0,VLOOKUP(R102,E46:Q55,13,FALSE))</f>
        <v>0</v>
      </c>
      <c r="U102" s="1139">
        <f>IF(1*ISERROR(VLOOKUP(R102,G46:Q55,11,FALSE))=1,0,VLOOKUP(R102,G46:Q55,11,FALSE))</f>
        <v>0</v>
      </c>
      <c r="V102" s="1139">
        <f>IF(1*ISERROR(VLOOKUP(R102,I46:Q55,9,FALSE))=1,0,VLOOKUP(R102,I46:Q55,9,FALSE))</f>
        <v>0</v>
      </c>
      <c r="W102" s="1139">
        <f>IF(1*ISERROR(VLOOKUP(R102,K46:Q55,7,FALSE))=1,0,VLOOKUP(R102,K46:Q55,7,FALSE))</f>
        <v>0</v>
      </c>
      <c r="X102" s="1139">
        <f>IF(1*ISERROR(VLOOKUP(R102,M46:Q55,5,FALSE))=1,0,VLOOKUP(R102,M46:Q55,5,FALSE))</f>
        <v>0</v>
      </c>
      <c r="Y102" s="1139">
        <f>IF(1*ISERROR(VLOOKUP(R102,M47:Q56,5,FALSE))=1,0,VLOOKUP(R102,M47:Q56,5,FALSE))</f>
        <v>0</v>
      </c>
      <c r="Z102" s="1139">
        <f t="shared" si="7"/>
        <v>0</v>
      </c>
      <c r="AA102" s="1139">
        <f>IF(Z102=0,35,_xlfn.RANK.EQ(Z102,Z98:Z132))</f>
        <v>35</v>
      </c>
      <c r="AB102" s="1139">
        <f>IF(AA102=35,35,AA102+COUNTIF(AA$98:AA101,AA102)/COUNTIF(AA$98:AA$132,AA102))</f>
        <v>35</v>
      </c>
      <c r="AC102" s="1139">
        <f t="shared" si="8"/>
        <v>13</v>
      </c>
      <c r="AD102" s="1139" t="s">
        <v>407</v>
      </c>
      <c r="AE102" s="1139">
        <f>IF(1*ISERROR(VLOOKUP(R102,C56:Q65,15,FALSE)-10)=1,0,VLOOKUP(R102,C56:Q65,15,FALSE)-10)</f>
        <v>0</v>
      </c>
      <c r="AF102" s="1139">
        <f>IF(1*ISERROR(VLOOKUP(R102,E56:Q65,13,FALSE)-10)=1,0,VLOOKUP(R102,E56:Q65,13,FALSE)-10)</f>
        <v>0</v>
      </c>
      <c r="AG102" s="1139">
        <f>IF(1*ISERROR(VLOOKUP(R102,G56:Q65,11,FALSE)-10)=1,0,VLOOKUP(R102,G56:Q65,11,FALSE)-10)</f>
        <v>0</v>
      </c>
      <c r="AH102" s="1139">
        <f>IF(1*ISERROR(VLOOKUP(R102,I56:Q65,9,FALSE)-10)=1,0,VLOOKUP(R102,I56:Q65,9,FALSE)-10)</f>
        <v>0</v>
      </c>
      <c r="AI102" s="1139">
        <f>IF(1*ISERROR(VLOOKUP(R102,K56:Q65,7,FALSE)-10)=1,0,VLOOKUP(R102,K56:Q65,7,FALSE)-10)</f>
        <v>0</v>
      </c>
      <c r="AJ102" s="1139">
        <f>IF(1*ISERROR(VLOOKUP(R102,M56:Q65,5,FALSE)-10)=1,0,VLOOKUP(R102,M56:Q65,5,FALSE)-10)</f>
        <v>0</v>
      </c>
      <c r="AK102" s="1139">
        <f t="shared" ref="AK102:AK132" si="17">IF(1*ISERROR(VLOOKUP(R102,O57:R66,5,FALSE)-10)=1,0,VLOOKUP(R102,O57:R66,5,FALSE)-10)</f>
        <v>0</v>
      </c>
      <c r="AL102" s="1139">
        <f t="shared" si="15"/>
        <v>0</v>
      </c>
      <c r="AM102" s="1139">
        <f>IF(AL102=0,35,_xlfn.RANK.EQ(AL102,AL98:AL132))</f>
        <v>35</v>
      </c>
      <c r="AN102" s="1139">
        <f>IF(AM102=35,35,AM102+COUNTIF(AM$98:AM101,AM102)/COUNTIF(AM$98:AM$132,AM102))</f>
        <v>35</v>
      </c>
      <c r="AO102" s="1139">
        <f t="shared" si="9"/>
        <v>12</v>
      </c>
      <c r="AP102" s="1139" t="s">
        <v>407</v>
      </c>
      <c r="AQ102" s="1139">
        <f>IF(1*ISERROR(VLOOKUP(R102,C66:Q75,15,FALSE)-20)=1,0,VLOOKUP(R102,C66:Q75,15,FALSE)-20)</f>
        <v>0</v>
      </c>
      <c r="AR102" s="1139">
        <f>IF(1*ISERROR(VLOOKUP(R102,E66:Q75,13,FALSE)-20)=1,0,VLOOKUP(R102,E66:Q75,13,FALSE)-20)</f>
        <v>0</v>
      </c>
      <c r="AS102" s="1139">
        <f>IF(1*ISERROR(VLOOKUP(R102,G66:Q75,11,FALSE)-20)=1,0,VLOOKUP(R102,G66:Q75,11,FALSE)-20)</f>
        <v>0</v>
      </c>
      <c r="AT102" s="1139">
        <f>IF(1*ISERROR(VLOOKUP(R102,I66:Q75,9,FALSE)-20)=1,0,VLOOKUP(R102,I66:Q75,9,FALSE)-20)</f>
        <v>0</v>
      </c>
      <c r="AU102" s="1139">
        <f>IF(1*ISERROR(VLOOKUP(R102,K66:Q75,7,FALSE)-20)=1,0,VLOOKUP(R102,K66:Q75,7,FALSE)-20)</f>
        <v>0</v>
      </c>
      <c r="AV102" s="1139">
        <f>IF(1*ISERROR(VLOOKUP(R102,M66:Q75,5,FALSE)-20)=1,0,VLOOKUP(R102,M66:Q75,5,FALSE)-20)</f>
        <v>0</v>
      </c>
      <c r="AW102" s="1139">
        <f t="shared" si="16"/>
        <v>0</v>
      </c>
      <c r="AX102" s="1139">
        <f t="shared" si="10"/>
        <v>0</v>
      </c>
      <c r="AY102" s="1139">
        <f>IF(AX102=0,35,_xlfn.RANK.EQ(AX102,AX98:AX132))</f>
        <v>35</v>
      </c>
      <c r="AZ102" s="1139">
        <f>IF(AY102=35,35,AY102+COUNTIF(AY$98:AY101,AY102)/COUNTIF(AY$98:AY$132,AY102))</f>
        <v>35</v>
      </c>
      <c r="BA102" s="1139">
        <f t="shared" si="11"/>
        <v>13</v>
      </c>
      <c r="BB102" s="1139" t="s">
        <v>407</v>
      </c>
      <c r="BC102" s="1139">
        <f>IF(1*ISERROR(VLOOKUP(R102,C76:Q85,15,FALSE)-30)=1,0,VLOOKUP(R102,C76:Q85,15,FALSE)-30)</f>
        <v>0</v>
      </c>
      <c r="BD102" s="1139">
        <f>IF(1*ISERROR(VLOOKUP(R102,E76:Q85,13,FALSE)-30)=1,0,VLOOKUP(R102,E76:Q85,13,FALSE)-30)</f>
        <v>0</v>
      </c>
      <c r="BE102" s="1139">
        <f>IF(1*ISERROR(VLOOKUP(R102,G76:Q85,11,FALSE)-30)=1,0,VLOOKUP(R102,G76:Q85,11,FALSE)-30)</f>
        <v>0</v>
      </c>
      <c r="BF102" s="1139">
        <f>IF(1*ISERROR(VLOOKUP(R102,I76:Q85,9,FALSE)-30)=1,0,VLOOKUP(R102,I76:Q85,9,FALSE)-30)</f>
        <v>0</v>
      </c>
      <c r="BG102" s="1139">
        <f>IF(1*ISERROR(VLOOKUP(R102,K76:Q85,7,FALSE)-30)=1,0,VLOOKUP(R102,K76:Q85,7,FALSE)-30)</f>
        <v>0</v>
      </c>
      <c r="BH102" s="1139">
        <f>IF(1*ISERROR(VLOOKUP(R102,M76:Q85,5,FALSE)-30)=1,0,VLOOKUP(R102,M76:Q85,5,FALSE)-30)</f>
        <v>0</v>
      </c>
      <c r="BI102" s="1139">
        <f>IF(1*ISERROR(VLOOKUP(R102,M76:R85,5,FALSE)-30)=1,0,VLOOKUP(R102,M76:R85,5,FALSE)-30)</f>
        <v>0</v>
      </c>
      <c r="BJ102" s="1139">
        <f>SUM(BC102:BI102)</f>
        <v>0</v>
      </c>
      <c r="BK102" s="1139">
        <f t="shared" si="12"/>
        <v>35</v>
      </c>
      <c r="BL102" s="1139">
        <f>IF(BK102=35,35,BK102+COUNTIF(BK$98:BK101,BK102)/COUNTIF(BK$98:BK$132,BK102))</f>
        <v>35</v>
      </c>
      <c r="BM102" s="1139">
        <f t="shared" si="13"/>
        <v>13</v>
      </c>
      <c r="BN102" s="1139" t="s">
        <v>407</v>
      </c>
      <c r="BO102" s="1139">
        <f>IF(1*ISERROR(VLOOKUP(R102,C86:Q95,15,FALSE)-40)=1,0,VLOOKUP(R102,C86:Q95,15,FALSE)-40)</f>
        <v>0</v>
      </c>
      <c r="BP102" s="1139">
        <f>IF(1*ISERROR(VLOOKUP(R102,E86:Q95,13,FALSE)-40)=1,0,VLOOKUP(R102,E86:Q95,13,FALSE)-40)</f>
        <v>0</v>
      </c>
      <c r="BQ102" s="1139">
        <f>IF(1*ISERROR(VLOOKUP(R102,G86:Q95,11,FALSE)-40)=1,0,VLOOKUP(R102,G86:Q95,11,FALSE)-40)</f>
        <v>0</v>
      </c>
      <c r="BR102" s="1139">
        <f>IF(1*ISERROR(VLOOKUP(R102,I86:Q95,9,FALSE)-40)=1,0,VLOOKUP(R102,I86:Q95,9,FALSE)-40)</f>
        <v>0</v>
      </c>
      <c r="BS102" s="1139">
        <f>IF(1*ISERROR(VLOOKUP(R102,K86:Q95,7,FALSE)-40)=1,0,VLOOKUP(R102,K86:Q95,7,FALSE)-40)</f>
        <v>0</v>
      </c>
      <c r="BT102" s="1139">
        <f>IF(1*ISERROR(VLOOKUP(R102,M86:Q95,5,FALSE)-40)=1,0,VLOOKUP(R102,M86:Q95,5,FALSE)-40)</f>
        <v>0</v>
      </c>
      <c r="BU102" s="1139">
        <f>IF(1*ISERROR(VLOOKUP(R102,M90:R99,5,FALSE)-40)=1,0,VLOOKUP(R102,M90:R99,5,FALSE)-40)</f>
        <v>0</v>
      </c>
      <c r="BV102" s="1139">
        <f>SUM(BO102:BU102)</f>
        <v>0</v>
      </c>
      <c r="BW102" s="1139">
        <f>IF(BV102=0,35,_xlfn.RANK.EQ(BV102,BV98:BV132))</f>
        <v>35</v>
      </c>
      <c r="BX102" s="1139">
        <f>IF(BW102=35,35,BW102+COUNTIF(BW$98:BW101,BW102)/COUNTIF(BW$98:BW$132,BW102))</f>
        <v>35</v>
      </c>
      <c r="BY102" s="1139">
        <f t="shared" si="14"/>
        <v>11</v>
      </c>
      <c r="BZ102" s="1139" t="s">
        <v>407</v>
      </c>
      <c r="CA102" s="1098"/>
      <c r="CB102" s="1098"/>
      <c r="CC102" s="839"/>
    </row>
    <row r="103" spans="1:81" s="1086" customFormat="1">
      <c r="Q103" s="1138">
        <f t="shared" si="6"/>
        <v>6</v>
      </c>
      <c r="R103" s="1139" t="s">
        <v>380</v>
      </c>
      <c r="S103" s="1139">
        <f>IF(1*ISERROR(VLOOKUP(R103,C46:Q55,15,FALSE))=1,0,VLOOKUP(R103,C46:Q55,15,FALSE))</f>
        <v>6</v>
      </c>
      <c r="T103" s="1139">
        <f>IF(1*ISERROR(VLOOKUP(R103,E46:Q55,13,FALSE))=1,0,VLOOKUP(R103,E46:Q55,13,FALSE))</f>
        <v>6</v>
      </c>
      <c r="U103" s="1139">
        <f>IF(1*ISERROR(VLOOKUP(R103,G46:Q55,11,FALSE))=1,0,VLOOKUP(R103,G46:Q55,11,FALSE))</f>
        <v>5</v>
      </c>
      <c r="V103" s="1139">
        <f>IF(1*ISERROR(VLOOKUP(R103,I46:Q55,9,FALSE))=1,0,VLOOKUP(R103,I46:Q55,9,FALSE))</f>
        <v>5</v>
      </c>
      <c r="W103" s="1139">
        <f>IF(1*ISERROR(VLOOKUP(R103,K46:Q55,7,FALSE))=1,0,VLOOKUP(R103,K46:Q55,7,FALSE))</f>
        <v>5</v>
      </c>
      <c r="X103" s="1139">
        <f>IF(1*ISERROR(VLOOKUP(R103,M46:Q55,5,FALSE))=1,0,VLOOKUP(R103,M46:Q55,5,FALSE))</f>
        <v>5</v>
      </c>
      <c r="Y103" s="1139">
        <f>IF(1*ISERROR(VLOOKUP(R103,M46:Q55,5,FALSE))=1,0,VLOOKUP(R103,M46:Q55,5,FALSE))</f>
        <v>5</v>
      </c>
      <c r="Z103" s="1139">
        <f t="shared" si="7"/>
        <v>32</v>
      </c>
      <c r="AA103" s="1139">
        <f>IF(Z103=0,35,_xlfn.RANK.EQ(Z103,Z98:Z132))</f>
        <v>6</v>
      </c>
      <c r="AB103" s="1139">
        <f>IF(AA103=35,35,AA103+COUNTIF(AA$98:AA102,AA103)/COUNTIF(AA$98:AA$132,AA103))</f>
        <v>6</v>
      </c>
      <c r="AC103" s="1139">
        <f t="shared" si="8"/>
        <v>6</v>
      </c>
      <c r="AD103" s="1139" t="s">
        <v>380</v>
      </c>
      <c r="AE103" s="1139">
        <f>IF(1*ISERROR(VLOOKUP(R103,C56:Q65,15,FALSE)-10)=1,0,VLOOKUP(R103,C56:Q65,15,FALSE)-10)</f>
        <v>2</v>
      </c>
      <c r="AF103" s="1139">
        <f>IF(1*ISERROR(VLOOKUP(R103,E56:Q65,13,FALSE)-10)=1,0,VLOOKUP(R103,E56:Q65,13,FALSE)-10)</f>
        <v>2</v>
      </c>
      <c r="AG103" s="1139">
        <f>IF(1*ISERROR(VLOOKUP(R103,G56:Q65,11,FALSE)-10)=1,0,VLOOKUP(R103,G56:Q65,11,FALSE)-10)</f>
        <v>2</v>
      </c>
      <c r="AH103" s="1139">
        <f>IF(1*ISERROR(VLOOKUP(R103,I56:Q65,9,FALSE)-10)=1,0,VLOOKUP(R103,I56:Q65,9,FALSE)-10)</f>
        <v>2</v>
      </c>
      <c r="AI103" s="1139">
        <f>IF(1*ISERROR(VLOOKUP(R103,K56:Q65,7,FALSE)-10)=1,0,VLOOKUP(R103,K56:Q65,7,FALSE)-10)</f>
        <v>3</v>
      </c>
      <c r="AJ103" s="1139">
        <f>IF(1*ISERROR(VLOOKUP(R103,M56:Q65,5,FALSE)-10)=1,0,VLOOKUP(R103,M56:Q65,5,FALSE)-10)</f>
        <v>3</v>
      </c>
      <c r="AK103" s="1139">
        <v>5</v>
      </c>
      <c r="AL103" s="1139">
        <f t="shared" si="15"/>
        <v>14</v>
      </c>
      <c r="AM103" s="1139">
        <f>IF(AL103=0,35,_xlfn.RANK.EQ(AL103,AL98:AL132))</f>
        <v>10</v>
      </c>
      <c r="AN103" s="1139">
        <f>IF(AM103=35,35,AM103+COUNTIF(AM$98:AM102,AM103)/COUNTIF(AM$98:AM$132,AM103))</f>
        <v>10</v>
      </c>
      <c r="AO103" s="1139">
        <f t="shared" si="9"/>
        <v>10</v>
      </c>
      <c r="AP103" s="1139" t="s">
        <v>380</v>
      </c>
      <c r="AQ103" s="1139">
        <f>IF(1*ISERROR(VLOOKUP(R103,C66:Q75,15,FALSE)-20)=1,0,VLOOKUP(R103,C66:Q75,15,FALSE)-20)</f>
        <v>3</v>
      </c>
      <c r="AR103" s="1139">
        <f>IF(1*ISERROR(VLOOKUP(R103,E66:Q75,13,FALSE)-20)=1,0,VLOOKUP(R103,E66:Q75,13,FALSE)-20)</f>
        <v>3</v>
      </c>
      <c r="AS103" s="1139">
        <f>IF(1*ISERROR(VLOOKUP(R103,G66:Q75,11,FALSE)-20)=1,0,VLOOKUP(R103,G66:Q75,11,FALSE)-20)</f>
        <v>3</v>
      </c>
      <c r="AT103" s="1139">
        <f>IF(1*ISERROR(VLOOKUP(R103,I66:Q75,9,FALSE)-20)=1,0,VLOOKUP(R103,I66:Q75,9,FALSE)-20)</f>
        <v>2</v>
      </c>
      <c r="AU103" s="1139">
        <f>IF(1*ISERROR(VLOOKUP(R103,K66:Q75,7,FALSE)-20)=1,0,VLOOKUP(R103,K66:Q75,7,FALSE)-20)</f>
        <v>2</v>
      </c>
      <c r="AV103" s="1139">
        <f>IF(1*ISERROR(VLOOKUP(R103,M66:Q75,5,FALSE)-20)=1,0,VLOOKUP(R103,M66:Q75,5,FALSE)-20)</f>
        <v>2</v>
      </c>
      <c r="AW103" s="1139">
        <f>IF(1*ISERROR(VLOOKUP(R103,M66:R80,5,FALSE)-20)=1,0,VLOOKUP(R103,M66:R80,5,FALSE)-20)</f>
        <v>2</v>
      </c>
      <c r="AX103" s="1139">
        <f t="shared" si="10"/>
        <v>17</v>
      </c>
      <c r="AY103" s="1139">
        <f>IF(AX103=0,35,_xlfn.RANK.EQ(AX103,AX98:AX132))</f>
        <v>9</v>
      </c>
      <c r="AZ103" s="1139">
        <f>IF(AY103=35,35,AY103+COUNTIF(AY$98:AY102,AY103)/COUNTIF(AY$98:AY$132,AY103))</f>
        <v>9</v>
      </c>
      <c r="BA103" s="1139">
        <f t="shared" si="11"/>
        <v>9</v>
      </c>
      <c r="BB103" s="1139" t="s">
        <v>380</v>
      </c>
      <c r="BC103" s="1139">
        <f>IF(1*ISERROR(VLOOKUP(R103,C76:Q85,15,FALSE)-30)=1,0,VLOOKUP(R103,C76:Q85,15,FALSE)-30)</f>
        <v>2</v>
      </c>
      <c r="BD103" s="1139">
        <f>IF(1*ISERROR(VLOOKUP(R103,E76:Q85,13,FALSE)-30)=1,0,VLOOKUP(R103,E76:Q85,13,FALSE)-30)</f>
        <v>2</v>
      </c>
      <c r="BE103" s="1139">
        <f>IF(1*ISERROR(VLOOKUP(R103,G76:Q85,11,FALSE)-30)=1,0,VLOOKUP(R103,G76:Q85,11,FALSE)-30)</f>
        <v>1</v>
      </c>
      <c r="BF103" s="1139">
        <f>IF(1*ISERROR(VLOOKUP(R103,I76:Q85,9,FALSE)-30)=1,0,VLOOKUP(R103,I76:Q85,9,FALSE)-30)</f>
        <v>1</v>
      </c>
      <c r="BG103" s="1139">
        <f>IF(1*ISERROR(VLOOKUP(R103,K76:Q85,7,FALSE)-30)=1,0,VLOOKUP(R103,K76:Q85,7,FALSE)-30)</f>
        <v>1</v>
      </c>
      <c r="BH103" s="1139">
        <f>IF(1*ISERROR(VLOOKUP(R103,M76:Q85,5,FALSE)-30)=1,0,VLOOKUP(R103,M76:Q85,5,FALSE)-30)</f>
        <v>1</v>
      </c>
      <c r="BI103" s="1139">
        <f>IF(1*ISERROR(VLOOKUP(R103,M76:R85,5,FALSE)-30)=1,0,VLOOKUP(R103,M76:R85,5,FALSE)-30)</f>
        <v>1</v>
      </c>
      <c r="BJ103" s="1139">
        <f t="shared" ref="BJ103:BJ132" si="18">SUM(BC103:BH103)</f>
        <v>8</v>
      </c>
      <c r="BK103" s="1139">
        <f t="shared" si="12"/>
        <v>11</v>
      </c>
      <c r="BL103" s="1139">
        <f>IF(BK103=35,35,BK103+COUNTIF(BK$98:BK102,BK103)/COUNTIF(BK$98:BK$132,BK103))</f>
        <v>11.5</v>
      </c>
      <c r="BM103" s="1139">
        <f t="shared" si="13"/>
        <v>12</v>
      </c>
      <c r="BN103" s="1139" t="s">
        <v>380</v>
      </c>
      <c r="BO103" s="1139">
        <f>IF(1*ISERROR(VLOOKUP(R103,C86:Q95,15,FALSE)-40)=1,0,VLOOKUP(R103,C86:Q95,15,FALSE)-40)</f>
        <v>1</v>
      </c>
      <c r="BP103" s="1139">
        <f>IF(1*ISERROR(VLOOKUP(R103,E86:Q95,13,FALSE)-40)=1,0,VLOOKUP(R103,E86:Q95,13,FALSE)-40)</f>
        <v>1</v>
      </c>
      <c r="BQ103" s="1139">
        <f>IF(1*ISERROR(VLOOKUP(R103,G86:Q95,11,FALSE)-40)=1,0,VLOOKUP(R103,G86:Q95,11,FALSE)-40)</f>
        <v>1</v>
      </c>
      <c r="BR103" s="1139">
        <f>IF(1*ISERROR(VLOOKUP(R103,I86:Q95,9,FALSE)-40)=1,0,VLOOKUP(R103,I86:Q95,9,FALSE)-40)</f>
        <v>1</v>
      </c>
      <c r="BS103" s="1139">
        <f>IF(1*ISERROR(VLOOKUP(R103,K86:Q95,7,FALSE)-40)=1,0,VLOOKUP(R103,K86:Q95,7,FALSE)-40)</f>
        <v>1</v>
      </c>
      <c r="BT103" s="1139">
        <f>IF(1*ISERROR(VLOOKUP(R103,M86:Q95,5,FALSE)-40)=1,0,VLOOKUP(R103,M86:Q95,5,FALSE)-40)</f>
        <v>1</v>
      </c>
      <c r="BU103" s="1139">
        <f>IF(1*ISERROR(VLOOKUP(R103,M86:R95,5,FALSE)-40)=1,0,VLOOKUP(R103,M86:R95,5,FALSE)-40)</f>
        <v>1</v>
      </c>
      <c r="BV103" s="1139">
        <f t="shared" ref="BV103:BV132" si="19">SUM(BO103:BU103)</f>
        <v>7</v>
      </c>
      <c r="BW103" s="1139">
        <f>IF(BV103=0,35,_xlfn.RANK.EQ(BV103,BV98:BV132))</f>
        <v>10</v>
      </c>
      <c r="BX103" s="1139">
        <f>IF(BW103=35,35,BW103+COUNTIF(BW$98:BW102,BW103)/COUNTIF(BW$98:BW$132,BW103))</f>
        <v>10</v>
      </c>
      <c r="BY103" s="1139">
        <f t="shared" si="14"/>
        <v>10</v>
      </c>
      <c r="BZ103" s="1139" t="s">
        <v>380</v>
      </c>
      <c r="CA103" s="1098"/>
      <c r="CB103" s="1098"/>
      <c r="CC103" s="839"/>
    </row>
    <row r="104" spans="1:81" s="1086" customFormat="1">
      <c r="Q104" s="1138">
        <f t="shared" si="6"/>
        <v>7</v>
      </c>
      <c r="R104" s="1139" t="s">
        <v>394</v>
      </c>
      <c r="S104" s="1139">
        <f>IF(1*ISERROR(VLOOKUP(R104,C46:Q55,15,FALSE))=1,0,VLOOKUP(R104,C46:Q55,15,FALSE))</f>
        <v>0</v>
      </c>
      <c r="T104" s="1139">
        <f>IF(1*ISERROR(VLOOKUP(R104,E46:Q55,13,FALSE))=1,0,VLOOKUP(R104,E46:Q55,13,FALSE))</f>
        <v>0</v>
      </c>
      <c r="U104" s="1139">
        <f>IF(1*ISERROR(VLOOKUP(R104,G46:Q55,11,FALSE))=1,0,VLOOKUP(R104,G46:Q55,11,FALSE))</f>
        <v>0</v>
      </c>
      <c r="V104" s="1139">
        <f>IF(1*ISERROR(VLOOKUP(R104,I46:Q55,9,FALSE))=1,0,VLOOKUP(R104,I46:Q55,9,FALSE))</f>
        <v>0</v>
      </c>
      <c r="W104" s="1139">
        <f>IF(1*ISERROR(VLOOKUP(R104,K46:Q55,7,FALSE))=1,0,VLOOKUP(R104,K46:Q55,7,FALSE))</f>
        <v>0</v>
      </c>
      <c r="X104" s="1139">
        <f>IF(1*ISERROR(VLOOKUP(R104,M46:Q55,5,FALSE))=1,0,VLOOKUP(R104,M46:Q55,5,FALSE))</f>
        <v>0</v>
      </c>
      <c r="Y104" s="1139">
        <f t="shared" ref="Y104:Y106" si="20">IF(1*ISERROR(VLOOKUP(R104,M47:Q56,5,FALSE))=1,0,VLOOKUP(R104,M47:Q56,5,FALSE))</f>
        <v>0</v>
      </c>
      <c r="Z104" s="1139">
        <f t="shared" si="7"/>
        <v>0</v>
      </c>
      <c r="AA104" s="1139">
        <f>IF(Z104=0,35,_xlfn.RANK.EQ(Z104,Z98:Z132))</f>
        <v>35</v>
      </c>
      <c r="AB104" s="1139">
        <f>IF(AA104=35,35,AA104+COUNTIF(AA$98:AA103,AA104)/COUNTIF(AA$98:AA$132,AA104))</f>
        <v>35</v>
      </c>
      <c r="AC104" s="1139">
        <f t="shared" si="8"/>
        <v>13</v>
      </c>
      <c r="AD104" s="1139" t="s">
        <v>394</v>
      </c>
      <c r="AE104" s="1139">
        <f>IF(1*ISERROR(VLOOKUP(R104,C56:Q65,15,FALSE)-10)=1,0,VLOOKUP(R104,C56:Q65,15,FALSE)-10)</f>
        <v>0</v>
      </c>
      <c r="AF104" s="1139">
        <f>IF(1*ISERROR(VLOOKUP(R104,E56:Q65,13,FALSE)-10)=1,0,VLOOKUP(R104,E56:Q65,13,FALSE)-10)</f>
        <v>0</v>
      </c>
      <c r="AG104" s="1139">
        <f>IF(1*ISERROR(VLOOKUP(R104,G56:Q65,11,FALSE)-10)=1,0,VLOOKUP(R104,G56:Q65,11,FALSE)-10)</f>
        <v>0</v>
      </c>
      <c r="AH104" s="1139">
        <f>IF(1*ISERROR(VLOOKUP(R104,I56:Q65,9,FALSE)-10)=1,0,VLOOKUP(R104,I56:Q65,9,FALSE)-10)</f>
        <v>0</v>
      </c>
      <c r="AI104" s="1139">
        <f>IF(1*ISERROR(VLOOKUP(R104,K56:Q65,7,FALSE)-10)=1,0,VLOOKUP(R104,K56:Q65,7,FALSE)-10)</f>
        <v>0</v>
      </c>
      <c r="AJ104" s="1139">
        <f>IF(1*ISERROR(VLOOKUP(R104,M56:Q65,5,FALSE)-10)=1,0,VLOOKUP(R104,M56:Q65,5,FALSE)-10)</f>
        <v>0</v>
      </c>
      <c r="AK104" s="1139">
        <f t="shared" si="17"/>
        <v>0</v>
      </c>
      <c r="AL104" s="1139">
        <f t="shared" si="15"/>
        <v>0</v>
      </c>
      <c r="AM104" s="1139">
        <f>IF(AL104=0,35,_xlfn.RANK.EQ(AL104,AL98:AL132))</f>
        <v>35</v>
      </c>
      <c r="AN104" s="1139">
        <f>IF(AM104=35,35,AM104+COUNTIF(AM$98:AM103,AM104)/COUNTIF(AM$98:AM$132,AM104))</f>
        <v>35</v>
      </c>
      <c r="AO104" s="1139">
        <f t="shared" si="9"/>
        <v>12</v>
      </c>
      <c r="AP104" s="1139" t="s">
        <v>394</v>
      </c>
      <c r="AQ104" s="1139">
        <f>IF(1*ISERROR(VLOOKUP(R104,C66:Q75,15,FALSE)-20)=1,0,VLOOKUP(R104,C66:Q75,15,FALSE)-20)</f>
        <v>0</v>
      </c>
      <c r="AR104" s="1139">
        <f>IF(1*ISERROR(VLOOKUP(R104,E66:Q75,13,FALSE)-20)=1,0,VLOOKUP(R104,E66:Q75,13,FALSE)-20)</f>
        <v>0</v>
      </c>
      <c r="AS104" s="1139">
        <f>IF(1*ISERROR(VLOOKUP(R104,G66:Q75,11,FALSE)-20)=1,0,VLOOKUP(R104,G66:Q75,11,FALSE)-20)</f>
        <v>0</v>
      </c>
      <c r="AT104" s="1139">
        <f>IF(1*ISERROR(VLOOKUP(R104,I66:Q75,9,FALSE)-20)=1,0,VLOOKUP(R104,I66:Q75,9,FALSE)-20)</f>
        <v>0</v>
      </c>
      <c r="AU104" s="1139">
        <f>IF(1*ISERROR(VLOOKUP(R104,K66:Q75,7,FALSE)-20)=1,0,VLOOKUP(R104,K66:Q75,7,FALSE)-20)</f>
        <v>0</v>
      </c>
      <c r="AV104" s="1139">
        <f>IF(1*ISERROR(VLOOKUP(R104,M66:Q75,5,FALSE)-20)=1,0,VLOOKUP(R104,M66:Q75,5,FALSE)-20)</f>
        <v>8</v>
      </c>
      <c r="AW104" s="1139">
        <v>6</v>
      </c>
      <c r="AX104" s="1139">
        <f t="shared" si="10"/>
        <v>14</v>
      </c>
      <c r="AY104" s="1139">
        <f>IF(AX104=0,35,_xlfn.RANK.EQ(AX104,AX98:AX132))</f>
        <v>10</v>
      </c>
      <c r="AZ104" s="1139">
        <f>IF(AY104=35,35,AY104+COUNTIF(AY$98:AY103,AY104)/COUNTIF(AY$98:AY$132,AY104))</f>
        <v>10</v>
      </c>
      <c r="BA104" s="1139">
        <f t="shared" si="11"/>
        <v>10</v>
      </c>
      <c r="BB104" s="1139" t="s">
        <v>394</v>
      </c>
      <c r="BC104" s="1139">
        <f>IF(1*ISERROR(VLOOKUP(R104,C76:Q85,15,FALSE)-30)=1,0,VLOOKUP(R104,C76:Q85,15,FALSE)-30)</f>
        <v>0</v>
      </c>
      <c r="BD104" s="1139">
        <f>IF(1*ISERROR(VLOOKUP(R104,E76:Q85,13,FALSE)-30)=1,0,VLOOKUP(R104,E76:Q85,13,FALSE)-30)</f>
        <v>0</v>
      </c>
      <c r="BE104" s="1139">
        <f>IF(1*ISERROR(VLOOKUP(R104,G76:Q85,11,FALSE)-30)=1,0,VLOOKUP(R104,G76:Q85,11,FALSE)-30)</f>
        <v>0</v>
      </c>
      <c r="BF104" s="1139">
        <f>IF(1*ISERROR(VLOOKUP(R104,I76:Q85,9,FALSE)-30)=1,0,VLOOKUP(R104,I76:Q85,9,FALSE)-30)</f>
        <v>0</v>
      </c>
      <c r="BG104" s="1139">
        <f>IF(1*ISERROR(VLOOKUP(R104,K76:Q85,7,FALSE)-30)=1,0,VLOOKUP(R104,K76:Q85,7,FALSE)-30)</f>
        <v>0</v>
      </c>
      <c r="BH104" s="1139">
        <f>IF(1*ISERROR(VLOOKUP(R104,M76:Q85,5,FALSE)-30)=1,0,VLOOKUP(R104,M76:Q85,5,FALSE)-30)</f>
        <v>0</v>
      </c>
      <c r="BI104" s="1139">
        <f t="shared" ref="BI104:BI106" si="21">IF(1*ISERROR(VLOOKUP(R104,M77:R86,5,FALSE)-30)=1,0,VLOOKUP(R104,M77:R86,5,FALSE)-30)</f>
        <v>0</v>
      </c>
      <c r="BJ104" s="1139">
        <f t="shared" si="18"/>
        <v>0</v>
      </c>
      <c r="BK104" s="1139">
        <f t="shared" si="12"/>
        <v>35</v>
      </c>
      <c r="BL104" s="1139">
        <f>IF(BK104=35,35,BK104+COUNTIF(BK$98:BK103,BK104)/COUNTIF(BK$98:BK$132,BK104))</f>
        <v>35</v>
      </c>
      <c r="BM104" s="1139">
        <f t="shared" si="13"/>
        <v>13</v>
      </c>
      <c r="BN104" s="1139" t="s">
        <v>394</v>
      </c>
      <c r="BO104" s="1139">
        <f>IF(1*ISERROR(VLOOKUP(R104,C86:Q95,15,FALSE)-40)=1,0,VLOOKUP(R104,C86:Q95,15,FALSE)-40)</f>
        <v>0</v>
      </c>
      <c r="BP104" s="1139">
        <f>IF(1*ISERROR(VLOOKUP(R104,E86:Q95,13,FALSE)-40)=1,0,VLOOKUP(R104,E86:Q95,13,FALSE)-40)</f>
        <v>0</v>
      </c>
      <c r="BQ104" s="1139">
        <f>IF(1*ISERROR(VLOOKUP(R104,G86:Q95,11,FALSE)-40)=1,0,VLOOKUP(R104,G86:Q95,11,FALSE)-40)</f>
        <v>0</v>
      </c>
      <c r="BR104" s="1139">
        <f>IF(1*ISERROR(VLOOKUP(R104,I86:Q95,9,FALSE)-40)=1,0,VLOOKUP(R104,I86:Q95,9,FALSE)-40)</f>
        <v>0</v>
      </c>
      <c r="BS104" s="1139">
        <f>IF(1*ISERROR(VLOOKUP(R104,K86:Q95,7,FALSE)-40)=1,0,VLOOKUP(R104,K86:Q95,7,FALSE)-40)</f>
        <v>0</v>
      </c>
      <c r="BT104" s="1139">
        <f>IF(1*ISERROR(VLOOKUP(R104,M86:Q95,5,FALSE)-40)=1,0,VLOOKUP(R104,M86:Q95,5,FALSE)-40)</f>
        <v>0</v>
      </c>
      <c r="BU104" s="1139">
        <f>IF(1*ISERROR(VLOOKUP(R104,M92:R101,5,FALSE)-40)=1,0,VLOOKUP(R104,M92:R101,5,FALSE)-40)</f>
        <v>0</v>
      </c>
      <c r="BV104" s="1139">
        <f t="shared" si="19"/>
        <v>0</v>
      </c>
      <c r="BW104" s="1139">
        <f>IF(BV104=0,35,_xlfn.RANK.EQ(BV104,BV98:BV132))</f>
        <v>35</v>
      </c>
      <c r="BX104" s="1139">
        <f>IF(BW104=35,35,BW104+COUNTIF(BW$98:BW103,BW104)/COUNTIF(BW$98:BW$132,BW104))</f>
        <v>35</v>
      </c>
      <c r="BY104" s="1139">
        <f t="shared" si="14"/>
        <v>11</v>
      </c>
      <c r="BZ104" s="1139" t="s">
        <v>394</v>
      </c>
      <c r="CA104" s="1098"/>
      <c r="CB104" s="1098"/>
      <c r="CC104" s="839"/>
    </row>
    <row r="105" spans="1:81" s="1086" customFormat="1">
      <c r="Q105" s="1138">
        <f t="shared" si="6"/>
        <v>8</v>
      </c>
      <c r="R105" s="1139" t="s">
        <v>391</v>
      </c>
      <c r="S105" s="1139">
        <f>IF(1*ISERROR(VLOOKUP(R105,C46:Q55,15,FALSE))=1,0,VLOOKUP(R105,C46:Q55,15,FALSE))</f>
        <v>0</v>
      </c>
      <c r="T105" s="1139">
        <f>IF(1*ISERROR(VLOOKUP(R105,E46:Q55,13,FALSE))=1,0,VLOOKUP(R105,E46:Q55,13,FALSE))</f>
        <v>0</v>
      </c>
      <c r="U105" s="1139">
        <f>IF(1*ISERROR(VLOOKUP(R105,G46:Q55,11,FALSE))=1,0,VLOOKUP(R105,G46:Q55,11,FALSE))</f>
        <v>0</v>
      </c>
      <c r="V105" s="1139">
        <f>IF(1*ISERROR(VLOOKUP(R105,I46:Q55,9,FALSE))=1,0,VLOOKUP(R105,I46:Q55,9,FALSE))</f>
        <v>0</v>
      </c>
      <c r="W105" s="1139">
        <f>IF(1*ISERROR(VLOOKUP(R105,K46:Q55,7,FALSE))=1,0,VLOOKUP(R105,K46:Q55,7,FALSE))</f>
        <v>0</v>
      </c>
      <c r="X105" s="1139">
        <f>IF(1*ISERROR(VLOOKUP(R105,M46:Q55,5,FALSE))=1,0,VLOOKUP(R105,M46:Q55,5,FALSE))</f>
        <v>0</v>
      </c>
      <c r="Y105" s="1139">
        <f t="shared" si="20"/>
        <v>0</v>
      </c>
      <c r="Z105" s="1139">
        <f t="shared" si="7"/>
        <v>0</v>
      </c>
      <c r="AA105" s="1139">
        <f>IF(Z105=0,35,_xlfn.RANK.EQ(Z105,Z98:Z132))</f>
        <v>35</v>
      </c>
      <c r="AB105" s="1139">
        <f>IF(AA105=35,35,AA105+COUNTIF(AA$98:AA104,AA105)/COUNTIF(AA$98:AA$132,AA105))</f>
        <v>35</v>
      </c>
      <c r="AC105" s="1139">
        <f t="shared" si="8"/>
        <v>13</v>
      </c>
      <c r="AD105" s="1139" t="s">
        <v>391</v>
      </c>
      <c r="AE105" s="1139">
        <f>IF(1*ISERROR(VLOOKUP(R105,C56:Q65,15,FALSE)-10)=1,0,VLOOKUP(R105,C56:Q65,15,FALSE)-10)</f>
        <v>8</v>
      </c>
      <c r="AF105" s="1139">
        <f>IF(1*ISERROR(VLOOKUP(R105,E56:Q65,13,FALSE)-10)=1,0,VLOOKUP(R105,E56:Q65,13,FALSE)-10)</f>
        <v>8</v>
      </c>
      <c r="AG105" s="1139">
        <f>IF(1*ISERROR(VLOOKUP(R105,G56:Q65,11,FALSE)-10)=1,0,VLOOKUP(R105,G56:Q65,11,FALSE)-10)</f>
        <v>8</v>
      </c>
      <c r="AH105" s="1139">
        <f>IF(1*ISERROR(VLOOKUP(R105,I56:Q65,9,FALSE)-10)=1,0,VLOOKUP(R105,I56:Q65,9,FALSE)-10)</f>
        <v>9</v>
      </c>
      <c r="AI105" s="1139">
        <f>IF(1*ISERROR(VLOOKUP(R105,K56:Q65,7,FALSE)-10)=1,0,VLOOKUP(R105,K56:Q65,7,FALSE)-10)</f>
        <v>8</v>
      </c>
      <c r="AJ105" s="1139">
        <f>IF(1*ISERROR(VLOOKUP(R105,M56:Q65,5,FALSE)-10)=1,0,VLOOKUP(R105,M56:Q65,5,FALSE)-10)</f>
        <v>10</v>
      </c>
      <c r="AK105" s="1139">
        <v>10</v>
      </c>
      <c r="AL105" s="1139">
        <f t="shared" si="15"/>
        <v>51</v>
      </c>
      <c r="AM105" s="1139">
        <f>IF(AL105=0,35,_xlfn.RANK.EQ(AL105,AL98:AL132))</f>
        <v>2</v>
      </c>
      <c r="AN105" s="1139">
        <f>IF(AM105=35,35,AM105+COUNTIF(AM$98:AM104,AM105)/COUNTIF(AM$98:AM$132,AM105))</f>
        <v>2</v>
      </c>
      <c r="AO105" s="1139">
        <f t="shared" si="9"/>
        <v>2</v>
      </c>
      <c r="AP105" s="1139" t="s">
        <v>391</v>
      </c>
      <c r="AQ105" s="1139">
        <f>IF(1*ISERROR(VLOOKUP(R105,C66:Q75,15,FALSE)-20)=1,0,VLOOKUP(R105,C66:Q75,15,FALSE)-20)</f>
        <v>5</v>
      </c>
      <c r="AR105" s="1139">
        <f>IF(1*ISERROR(VLOOKUP(R105,E66:Q75,13,FALSE)-20)=1,0,VLOOKUP(R105,E66:Q75,13,FALSE)-20)</f>
        <v>5</v>
      </c>
      <c r="AS105" s="1139">
        <f>IF(1*ISERROR(VLOOKUP(R105,G66:Q75,11,FALSE)-20)=1,0,VLOOKUP(R105,G66:Q75,11,FALSE)-20)</f>
        <v>2</v>
      </c>
      <c r="AT105" s="1139">
        <f>IF(1*ISERROR(VLOOKUP(R105,I66:Q75,9,FALSE)-20)=1,0,VLOOKUP(R105,I66:Q75,9,FALSE)-20)</f>
        <v>3</v>
      </c>
      <c r="AU105" s="1139">
        <f>IF(1*ISERROR(VLOOKUP(R105,K66:Q75,7,FALSE)-20)=1,0,VLOOKUP(R105,K66:Q75,7,FALSE)-20)</f>
        <v>3</v>
      </c>
      <c r="AV105" s="1139">
        <f>IF(1*ISERROR(VLOOKUP(R105,M66:Q75,5,FALSE)-20)=1,0,VLOOKUP(R105,M66:Q75,5,FALSE)-20)</f>
        <v>3</v>
      </c>
      <c r="AW105" s="1139">
        <f>IF(1*ISERROR(VLOOKUP(R105,M66:R82,5,FALSE)-20)=1,0,VLOOKUP(R105,M66:R82,5,FALSE)-20)</f>
        <v>3</v>
      </c>
      <c r="AX105" s="1139">
        <f t="shared" si="10"/>
        <v>24</v>
      </c>
      <c r="AY105" s="1139">
        <f>IF(AX105=0,35,_xlfn.RANK.EQ(AX105,AX98:AX132))</f>
        <v>8</v>
      </c>
      <c r="AZ105" s="1139">
        <f>IF(AY105=35,35,AY105+COUNTIF(AY$98:AY104,AY105)/COUNTIF(AY$98:AY$132,AY105))</f>
        <v>8</v>
      </c>
      <c r="BA105" s="1139">
        <f t="shared" si="11"/>
        <v>8</v>
      </c>
      <c r="BB105" s="1139" t="s">
        <v>391</v>
      </c>
      <c r="BC105" s="1139">
        <f>IF(1*ISERROR(VLOOKUP(R105,C76:Q85,15,FALSE)-30)=1,0,VLOOKUP(R105,C76:Q85,15,FALSE)-30)</f>
        <v>0</v>
      </c>
      <c r="BD105" s="1139">
        <f>IF(1*ISERROR(VLOOKUP(R105,E76:Q85,13,FALSE)-30)=1,0,VLOOKUP(R105,E76:Q85,13,FALSE)-30)</f>
        <v>0</v>
      </c>
      <c r="BE105" s="1139">
        <f>IF(1*ISERROR(VLOOKUP(R105,G76:Q85,11,FALSE)-30)=1,0,VLOOKUP(R105,G76:Q85,11,FALSE)-30)</f>
        <v>0</v>
      </c>
      <c r="BF105" s="1139">
        <f>IF(1*ISERROR(VLOOKUP(R105,I76:Q85,9,FALSE)-30)=1,0,VLOOKUP(R105,I76:Q85,9,FALSE)-30)</f>
        <v>0</v>
      </c>
      <c r="BG105" s="1139">
        <f>IF(1*ISERROR(VLOOKUP(R105,K76:Q85,7,FALSE)-30)=1,0,VLOOKUP(R105,K76:Q85,7,FALSE)-30)</f>
        <v>0</v>
      </c>
      <c r="BH105" s="1139">
        <f>IF(1*ISERROR(VLOOKUP(R105,M76:Q85,5,FALSE)-30)=1,0,VLOOKUP(R105,M76:Q85,5,FALSE)-30)</f>
        <v>0</v>
      </c>
      <c r="BI105" s="1139">
        <f t="shared" si="21"/>
        <v>0</v>
      </c>
      <c r="BJ105" s="1139">
        <f t="shared" si="18"/>
        <v>0</v>
      </c>
      <c r="BK105" s="1139">
        <f t="shared" si="12"/>
        <v>35</v>
      </c>
      <c r="BL105" s="1139">
        <f>IF(BK105=35,35,BK105+COUNTIF(BK$98:BK104,BK105)/COUNTIF(BK$98:BK$132,BK105))</f>
        <v>35</v>
      </c>
      <c r="BM105" s="1139">
        <f t="shared" si="13"/>
        <v>13</v>
      </c>
      <c r="BN105" s="1139" t="s">
        <v>391</v>
      </c>
      <c r="BO105" s="1139">
        <f>IF(1*ISERROR(VLOOKUP(R105,C86:Q95,15,FALSE)-40)=1,0,VLOOKUP(R105,C86:Q95,15,FALSE)-40)</f>
        <v>4</v>
      </c>
      <c r="BP105" s="1139">
        <f>IF(1*ISERROR(VLOOKUP(R105,E86:Q95,13,FALSE)-40)=1,0,VLOOKUP(R105,E86:Q95,13,FALSE)-40)</f>
        <v>4</v>
      </c>
      <c r="BQ105" s="1139">
        <f>IF(1*ISERROR(VLOOKUP(R105,G86:Q95,11,FALSE)-40)=1,0,VLOOKUP(R105,G86:Q95,11,FALSE)-40)</f>
        <v>4</v>
      </c>
      <c r="BR105" s="1139">
        <f>IF(1*ISERROR(VLOOKUP(R105,I86:Q95,9,FALSE)-40)=1,0,VLOOKUP(R105,I86:Q95,9,FALSE)-40)</f>
        <v>5</v>
      </c>
      <c r="BS105" s="1139">
        <f>IF(1*ISERROR(VLOOKUP(R105,K86:Q95,7,FALSE)-40)=1,0,VLOOKUP(R105,K86:Q95,7,FALSE)-40)</f>
        <v>5</v>
      </c>
      <c r="BT105" s="1139">
        <f>IF(1*ISERROR(VLOOKUP(R105,M86:Q95,5,FALSE)-40)=1,0,VLOOKUP(R105,M86:Q95,5,FALSE)-40)</f>
        <v>5</v>
      </c>
      <c r="BU105" s="1139">
        <f>IF(1*ISERROR(VLOOKUP(R105,M86:R95,5,FALSE)-40)=1,0,VLOOKUP(R105,M86:R95,5,FALSE)-40)</f>
        <v>5</v>
      </c>
      <c r="BV105" s="1139">
        <f t="shared" si="19"/>
        <v>32</v>
      </c>
      <c r="BW105" s="1139">
        <f>IF(BV105=0,35,_xlfn.RANK.EQ(BV105,BV98:BV132))</f>
        <v>6</v>
      </c>
      <c r="BX105" s="1139">
        <f>IF(BW105=35,35,BW105+COUNTIF(BW$98:BW104,BW105)/COUNTIF(BW$98:BW$132,BW105))</f>
        <v>6</v>
      </c>
      <c r="BY105" s="1139">
        <f t="shared" si="14"/>
        <v>6</v>
      </c>
      <c r="BZ105" s="1139" t="s">
        <v>391</v>
      </c>
      <c r="CA105" s="1098"/>
      <c r="CB105" s="1098"/>
      <c r="CC105" s="839"/>
    </row>
    <row r="106" spans="1:81" s="1086" customFormat="1">
      <c r="Q106" s="1138">
        <f t="shared" si="6"/>
        <v>9</v>
      </c>
      <c r="R106" s="1139" t="s">
        <v>388</v>
      </c>
      <c r="S106" s="1139">
        <f>IF(1*ISERROR(VLOOKUP(R106,C46:Q55,15,FALSE))=1,0,VLOOKUP(R106,C46:Q55,15,FALSE))</f>
        <v>0</v>
      </c>
      <c r="T106" s="1139">
        <f>IF(1*ISERROR(VLOOKUP(R106,E46:Q55,13,FALSE))=1,0,VLOOKUP(R106,E46:Q55,13,FALSE))</f>
        <v>0</v>
      </c>
      <c r="U106" s="1139">
        <f>IF(1*ISERROR(VLOOKUP(R106,G46:Q55,11,FALSE))=1,0,VLOOKUP(R106,G46:Q55,11,FALSE))</f>
        <v>0</v>
      </c>
      <c r="V106" s="1139">
        <f>IF(1*ISERROR(VLOOKUP(R106,I46:Q55,9,FALSE))=1,0,VLOOKUP(R106,I46:Q55,9,FALSE))</f>
        <v>0</v>
      </c>
      <c r="W106" s="1139">
        <f>IF(1*ISERROR(VLOOKUP(R106,K46:Q55,7,FALSE))=1,0,VLOOKUP(R106,K46:Q55,7,FALSE))</f>
        <v>0</v>
      </c>
      <c r="X106" s="1139">
        <f>IF(1*ISERROR(VLOOKUP(R106,M46:Q55,5,FALSE))=1,0,VLOOKUP(R106,M46:Q55,5,FALSE))</f>
        <v>0</v>
      </c>
      <c r="Y106" s="1139">
        <f t="shared" si="20"/>
        <v>0</v>
      </c>
      <c r="Z106" s="1139">
        <f t="shared" si="7"/>
        <v>0</v>
      </c>
      <c r="AA106" s="1139">
        <f>IF(Z106=0,35,_xlfn.RANK.EQ(Z106,Z98:Z132))</f>
        <v>35</v>
      </c>
      <c r="AB106" s="1139">
        <f>IF(AA106=35,35,AA106+COUNTIF(AA$98:AA105,AA106)/COUNTIF(AA$98:AA$132,AA106))</f>
        <v>35</v>
      </c>
      <c r="AC106" s="1139">
        <f t="shared" si="8"/>
        <v>13</v>
      </c>
      <c r="AD106" s="1139" t="s">
        <v>388</v>
      </c>
      <c r="AE106" s="1139">
        <f>IF(1*ISERROR(VLOOKUP(R106,C56:Q65,15,FALSE)-10)=1,0,VLOOKUP(R106,C56:Q65,15,FALSE)-10)</f>
        <v>4</v>
      </c>
      <c r="AF106" s="1139">
        <f>IF(1*ISERROR(VLOOKUP(R106,E56:Q65,13,FALSE)-10)=1,0,VLOOKUP(R106,E56:Q65,13,FALSE)-10)</f>
        <v>4</v>
      </c>
      <c r="AG106" s="1139">
        <f>IF(1*ISERROR(VLOOKUP(R106,G56:Q65,11,FALSE)-10)=1,0,VLOOKUP(R106,G56:Q65,11,FALSE)-10)</f>
        <v>7</v>
      </c>
      <c r="AH106" s="1139">
        <f>IF(1*ISERROR(VLOOKUP(R106,I56:Q65,9,FALSE)-10)=1,0,VLOOKUP(R106,I56:Q65,9,FALSE)-10)</f>
        <v>7</v>
      </c>
      <c r="AI106" s="1139">
        <f>IF(1*ISERROR(VLOOKUP(R106,K56:Q65,7,FALSE)-10)=1,0,VLOOKUP(R106,K56:Q65,7,FALSE)-10)</f>
        <v>7</v>
      </c>
      <c r="AJ106" s="1139">
        <f>IF(1*ISERROR(VLOOKUP(R106,M56:Q65,5,FALSE)-10)=1,0,VLOOKUP(R106,M56:Q65,5,FALSE)-10)</f>
        <v>7</v>
      </c>
      <c r="AK106" s="1139">
        <v>9</v>
      </c>
      <c r="AL106" s="1139">
        <f t="shared" si="15"/>
        <v>36</v>
      </c>
      <c r="AM106" s="1139">
        <f>IF(AL106=0,35,_xlfn.RANK.EQ(AL106,AL98:AL132))</f>
        <v>4</v>
      </c>
      <c r="AN106" s="1139">
        <f>IF(AM106=35,35,AM106+COUNTIF(AM$98:AM105,AM106)/COUNTIF(AM$98:AM$132,AM106))</f>
        <v>4</v>
      </c>
      <c r="AO106" s="1139">
        <f t="shared" si="9"/>
        <v>4</v>
      </c>
      <c r="AP106" s="1139" t="s">
        <v>388</v>
      </c>
      <c r="AQ106" s="1139">
        <f>IF(1*ISERROR(VLOOKUP(R106,C66:Q75,15,FALSE)-20)=1,0,VLOOKUP(R106,C66:Q75,15,FALSE)-20)</f>
        <v>0</v>
      </c>
      <c r="AR106" s="1139">
        <f>IF(1*ISERROR(VLOOKUP(R106,E66:Q75,13,FALSE)-20)=1,0,VLOOKUP(R106,E66:Q75,13,FALSE)-20)</f>
        <v>0</v>
      </c>
      <c r="AS106" s="1139">
        <f>IF(1*ISERROR(VLOOKUP(R106,G66:Q75,11,FALSE)-20)=1,0,VLOOKUP(R106,G66:Q75,11,FALSE)-20)</f>
        <v>10</v>
      </c>
      <c r="AT106" s="1139">
        <f>IF(1*ISERROR(VLOOKUP(R106,I66:Q75,9,FALSE)-20)=1,0,VLOOKUP(R106,I66:Q75,9,FALSE)-20)</f>
        <v>0</v>
      </c>
      <c r="AU106" s="1139">
        <f>IF(1*ISERROR(VLOOKUP(R106,K66:Q75,7,FALSE)-20)=1,0,VLOOKUP(R106,K66:Q75,7,FALSE)-20)</f>
        <v>0</v>
      </c>
      <c r="AV106" s="1139">
        <f>IF(1*ISERROR(VLOOKUP(R106,M66:Q75,5,FALSE)-20)=1,0,VLOOKUP(R106,M66:Q75,5,FALSE)-20)</f>
        <v>0</v>
      </c>
      <c r="AW106" s="1139">
        <f t="shared" si="16"/>
        <v>0</v>
      </c>
      <c r="AX106" s="1139">
        <f t="shared" si="10"/>
        <v>10</v>
      </c>
      <c r="AY106" s="1139">
        <f>IF(AX106=0,35,_xlfn.RANK.EQ(AX106,AX98:AX132))</f>
        <v>11</v>
      </c>
      <c r="AZ106" s="1139">
        <f>IF(AY106=35,35,AY106+COUNTIF(AY$98:AY105,AY106)/COUNTIF(AY$98:AY$132,AY106))</f>
        <v>11</v>
      </c>
      <c r="BA106" s="1139">
        <f t="shared" si="11"/>
        <v>11</v>
      </c>
      <c r="BB106" s="1139" t="s">
        <v>388</v>
      </c>
      <c r="BC106" s="1139">
        <f>IF(1*ISERROR(VLOOKUP(R106,C76:Q85,15,FALSE)-30)=1,0,VLOOKUP(R106,C76:Q85,15,FALSE)-30)</f>
        <v>0</v>
      </c>
      <c r="BD106" s="1139">
        <f>IF(1*ISERROR(VLOOKUP(R106,E76:Q85,13,FALSE)-30)=1,0,VLOOKUP(R106,E76:Q85,13,FALSE)-30)</f>
        <v>0</v>
      </c>
      <c r="BE106" s="1139">
        <f>IF(1*ISERROR(VLOOKUP(R106,G76:Q85,11,FALSE)-30)=1,0,VLOOKUP(R106,G76:Q85,11,FALSE)-30)</f>
        <v>0</v>
      </c>
      <c r="BF106" s="1139">
        <f>IF(1*ISERROR(VLOOKUP(R106,I76:Q85,9,FALSE)-30)=1,0,VLOOKUP(R106,I76:Q85,9,FALSE)-30)</f>
        <v>0</v>
      </c>
      <c r="BG106" s="1139">
        <f>IF(1*ISERROR(VLOOKUP(R106,K76:Q85,7,FALSE)-30)=1,0,VLOOKUP(R106,K76:Q85,7,FALSE)-30)</f>
        <v>0</v>
      </c>
      <c r="BH106" s="1139">
        <f>IF(1*ISERROR(VLOOKUP(R106,M76:Q85,5,FALSE)-30)=1,0,VLOOKUP(R106,M76:Q85,5,FALSE)-30)</f>
        <v>0</v>
      </c>
      <c r="BI106" s="1139">
        <f t="shared" si="21"/>
        <v>0</v>
      </c>
      <c r="BJ106" s="1139">
        <f t="shared" si="18"/>
        <v>0</v>
      </c>
      <c r="BK106" s="1139">
        <f t="shared" si="12"/>
        <v>35</v>
      </c>
      <c r="BL106" s="1139">
        <f>IF(BK106=35,35,BK106+COUNTIF(BK$98:BK105,BK106)/COUNTIF(BK$98:BK$132,BK106))</f>
        <v>35</v>
      </c>
      <c r="BM106" s="1139">
        <f t="shared" si="13"/>
        <v>13</v>
      </c>
      <c r="BN106" s="1139" t="s">
        <v>388</v>
      </c>
      <c r="BO106" s="1139">
        <f>IF(1*ISERROR(VLOOKUP(R106,C86:Q95,15,FALSE)-40)=1,0,VLOOKUP(R106,C86:Q95,15,FALSE)-40)</f>
        <v>10</v>
      </c>
      <c r="BP106" s="1139">
        <f>IF(1*ISERROR(VLOOKUP(R106,E86:Q95,13,FALSE)-40)=1,0,VLOOKUP(R106,E86:Q95,13,FALSE)-40)</f>
        <v>10</v>
      </c>
      <c r="BQ106" s="1139">
        <f>IF(1*ISERROR(VLOOKUP(R106,G86:Q95,11,FALSE)-40)=1,0,VLOOKUP(R106,G86:Q95,11,FALSE)-40)</f>
        <v>10</v>
      </c>
      <c r="BR106" s="1139">
        <f>IF(1*ISERROR(VLOOKUP(R106,I86:Q95,9,FALSE)-40)=1,0,VLOOKUP(R106,I86:Q95,9,FALSE)-40)</f>
        <v>9</v>
      </c>
      <c r="BS106" s="1139">
        <f>IF(1*ISERROR(VLOOKUP(R106,K86:Q95,7,FALSE)-40)=1,0,VLOOKUP(R106,K86:Q95,7,FALSE)-40)</f>
        <v>9</v>
      </c>
      <c r="BT106" s="1139">
        <f>IF(1*ISERROR(VLOOKUP(R106,M86:Q95,5,FALSE)-40)=1,0,VLOOKUP(R106,M86:Q95,5,FALSE)-40)</f>
        <v>9</v>
      </c>
      <c r="BU106" s="1139">
        <f>IF(1*ISERROR(VLOOKUP(R106,M87:R96,5,FALSE)-40)=1,0,VLOOKUP(R106,M87:R96,5,FALSE)-40)</f>
        <v>9</v>
      </c>
      <c r="BV106" s="1139">
        <f t="shared" si="19"/>
        <v>66</v>
      </c>
      <c r="BW106" s="1139">
        <f>IF(BV106=0,35,_xlfn.RANK.EQ(BV106,BV98:BV132))</f>
        <v>2</v>
      </c>
      <c r="BX106" s="1139">
        <f>IF(BW106=35,35,BW106+COUNTIF(BW$98:BW105,BW106)/COUNTIF(BW$98:BW$132,BW106))</f>
        <v>2</v>
      </c>
      <c r="BY106" s="1139">
        <f t="shared" si="14"/>
        <v>2</v>
      </c>
      <c r="BZ106" s="1139" t="s">
        <v>388</v>
      </c>
      <c r="CA106" s="1098"/>
      <c r="CB106" s="1098"/>
      <c r="CC106" s="839"/>
    </row>
    <row r="107" spans="1:81" s="1086" customFormat="1">
      <c r="Q107" s="1138">
        <f t="shared" si="6"/>
        <v>10</v>
      </c>
      <c r="R107" s="1139" t="s">
        <v>382</v>
      </c>
      <c r="S107" s="1139">
        <f>IF(1*ISERROR(VLOOKUP(R107,C46:Q55,15,FALSE))=1,0,VLOOKUP(R107,C46:Q55,15,FALSE))</f>
        <v>5</v>
      </c>
      <c r="T107" s="1139">
        <f>IF(1*ISERROR(VLOOKUP(R107,E46:Q55,13,FALSE))=1,0,VLOOKUP(R107,E46:Q55,13,FALSE))</f>
        <v>5</v>
      </c>
      <c r="U107" s="1139">
        <f>IF(1*ISERROR(VLOOKUP(R107,G46:Q55,11,FALSE))=1,0,VLOOKUP(R107,G46:Q55,11,FALSE))</f>
        <v>6</v>
      </c>
      <c r="V107" s="1139">
        <f>IF(1*ISERROR(VLOOKUP(R107,I46:Q55,9,FALSE))=1,0,VLOOKUP(R107,I46:Q55,9,FALSE))</f>
        <v>6</v>
      </c>
      <c r="W107" s="1139">
        <f>IF(1*ISERROR(VLOOKUP(R107,K46:Q55,7,FALSE))=1,0,VLOOKUP(R107,K46:Q55,7,FALSE))</f>
        <v>6</v>
      </c>
      <c r="X107" s="1139">
        <f>IF(1*ISERROR(VLOOKUP(R107,M46:Q55,5,FALSE))=1,0,VLOOKUP(R107,M46:Q55,5,FALSE))</f>
        <v>6</v>
      </c>
      <c r="Y107" s="1139">
        <f>IF(1*ISERROR(VLOOKUP(R107,M46:Q55,5,FALSE))=1,0,VLOOKUP(R107,M46:Q55,5,FALSE))</f>
        <v>6</v>
      </c>
      <c r="Z107" s="1139">
        <f t="shared" si="7"/>
        <v>34</v>
      </c>
      <c r="AA107" s="1139">
        <f>IF(Z107=0,35,_xlfn.RANK.EQ(Z107,Z98:Z132))</f>
        <v>4</v>
      </c>
      <c r="AB107" s="1139">
        <f>IF(AA107=35,35,AA107+COUNTIF(AA$98:AA106,AA107)/COUNTIF(AA$98:AA$132,AA107))</f>
        <v>4</v>
      </c>
      <c r="AC107" s="1139">
        <f t="shared" si="8"/>
        <v>4</v>
      </c>
      <c r="AD107" s="1139" t="s">
        <v>382</v>
      </c>
      <c r="AE107" s="1139">
        <f>IF(1*ISERROR(VLOOKUP(R107,C56:Q65,15,FALSE)-10)=1,0,VLOOKUP(R107,C56:Q65,15,FALSE)-10)</f>
        <v>7</v>
      </c>
      <c r="AF107" s="1139">
        <f>IF(1*ISERROR(VLOOKUP(R107,E56:Q65,13,FALSE)-10)=1,0,VLOOKUP(R107,E56:Q65,13,FALSE)-10)</f>
        <v>7</v>
      </c>
      <c r="AG107" s="1139">
        <f>IF(1*ISERROR(VLOOKUP(R107,G56:Q65,11,FALSE)-10)=1,0,VLOOKUP(R107,G56:Q65,11,FALSE)-10)</f>
        <v>4</v>
      </c>
      <c r="AH107" s="1139">
        <f>IF(1*ISERROR(VLOOKUP(R107,I56:Q65,9,FALSE)-10)=1,0,VLOOKUP(R107,I56:Q65,9,FALSE)-10)</f>
        <v>5</v>
      </c>
      <c r="AI107" s="1139">
        <f>IF(1*ISERROR(VLOOKUP(R107,K56:Q65,7,FALSE)-10)=1,0,VLOOKUP(R107,K56:Q65,7,FALSE)-10)</f>
        <v>4</v>
      </c>
      <c r="AJ107" s="1139">
        <f>IF(1*ISERROR(VLOOKUP(R107,M56:Q65,5,FALSE)-10)=1,0,VLOOKUP(R107,M56:Q65,5,FALSE)-10)</f>
        <v>5</v>
      </c>
      <c r="AK107" s="1139">
        <v>7</v>
      </c>
      <c r="AL107" s="1139">
        <f t="shared" si="15"/>
        <v>32</v>
      </c>
      <c r="AM107" s="1139">
        <f>IF(AL107=0,35,_xlfn.RANK.EQ(AL107,AL98:AL132))</f>
        <v>6</v>
      </c>
      <c r="AN107" s="1139">
        <f>IF(AM107=35,35,AM107+COUNTIF(AM$98:AM106,AM107)/COUNTIF(AM$98:AM$132,AM107))</f>
        <v>6</v>
      </c>
      <c r="AO107" s="1139">
        <f t="shared" si="9"/>
        <v>6</v>
      </c>
      <c r="AP107" s="1139" t="s">
        <v>382</v>
      </c>
      <c r="AQ107" s="1139">
        <f>IF(1*ISERROR(VLOOKUP(R107,C66:Q75,15,FALSE)-20)=1,0,VLOOKUP(R107,C66:Q75,15,FALSE)-20)</f>
        <v>6</v>
      </c>
      <c r="AR107" s="1139">
        <f>IF(1*ISERROR(VLOOKUP(R107,E66:Q75,13,FALSE)-20)=1,0,VLOOKUP(R107,E66:Q75,13,FALSE)-20)</f>
        <v>6</v>
      </c>
      <c r="AS107" s="1139">
        <f>IF(1*ISERROR(VLOOKUP(R107,G66:Q75,11,FALSE)-20)=1,0,VLOOKUP(R107,G66:Q75,11,FALSE)-20)</f>
        <v>6</v>
      </c>
      <c r="AT107" s="1139">
        <f>IF(1*ISERROR(VLOOKUP(R107,I66:Q75,9,FALSE)-20)=1,0,VLOOKUP(R107,I66:Q75,9,FALSE)-20)</f>
        <v>6</v>
      </c>
      <c r="AU107" s="1139">
        <f>IF(1*ISERROR(VLOOKUP(R107,K66:Q75,7,FALSE)-20)=1,0,VLOOKUP(R107,K66:Q75,7,FALSE)-20)</f>
        <v>6</v>
      </c>
      <c r="AV107" s="1139">
        <f>IF(1*ISERROR(VLOOKUP(R107,M66:Q75,5,FALSE)-20)=1,0,VLOOKUP(R107,M66:Q75,5,FALSE)-20)</f>
        <v>9</v>
      </c>
      <c r="AW107" s="1139">
        <v>10</v>
      </c>
      <c r="AX107" s="1139">
        <f t="shared" si="10"/>
        <v>49</v>
      </c>
      <c r="AY107" s="1139">
        <f>IF(AX107=0,35,_xlfn.RANK.EQ(AX107,AX98:AX132))</f>
        <v>4</v>
      </c>
      <c r="AZ107" s="1139">
        <f>IF(AY107=35,35,AY107+COUNTIF(AY$98:AY106,AY107)/COUNTIF(AY$98:AY$132,AY107))</f>
        <v>4</v>
      </c>
      <c r="BA107" s="1139">
        <f t="shared" si="11"/>
        <v>4</v>
      </c>
      <c r="BB107" s="1139" t="s">
        <v>382</v>
      </c>
      <c r="BC107" s="1139">
        <f>IF(1*ISERROR(VLOOKUP(R107,C76:Q85,15,FALSE)-30)=1,0,VLOOKUP(R107,C76:Q85,15,FALSE)-30)</f>
        <v>3</v>
      </c>
      <c r="BD107" s="1139">
        <f>IF(1*ISERROR(VLOOKUP(R107,E76:Q85,13,FALSE)-30)=1,0,VLOOKUP(R107,E76:Q85,13,FALSE)-30)</f>
        <v>3</v>
      </c>
      <c r="BE107" s="1139">
        <f>IF(1*ISERROR(VLOOKUP(R107,G76:Q85,11,FALSE)-30)=1,0,VLOOKUP(R107,G76:Q85,11,FALSE)-30)</f>
        <v>3</v>
      </c>
      <c r="BF107" s="1139">
        <f>IF(1*ISERROR(VLOOKUP(R107,I76:Q85,9,FALSE)-30)=1,0,VLOOKUP(R107,I76:Q85,9,FALSE)-30)</f>
        <v>3</v>
      </c>
      <c r="BG107" s="1139">
        <f>IF(1*ISERROR(VLOOKUP(R107,K76:Q85,7,FALSE)-30)=1,0,VLOOKUP(R107,K76:Q85,7,FALSE)-30)</f>
        <v>2</v>
      </c>
      <c r="BH107" s="1139">
        <f>IF(1*ISERROR(VLOOKUP(R107,M76:Q85,5,FALSE)-30)=1,0,VLOOKUP(R107,M76:Q85,5,FALSE)-30)</f>
        <v>2</v>
      </c>
      <c r="BI107" s="1139">
        <f>IF(1*ISERROR(VLOOKUP(R107,M76:R85,5,FALSE)-30)=1,0,VLOOKUP(R107,M76:R85,5,FALSE)-30)</f>
        <v>2</v>
      </c>
      <c r="BJ107" s="1139">
        <f>SUM(BC107:BI107)</f>
        <v>18</v>
      </c>
      <c r="BK107" s="1139">
        <f t="shared" si="12"/>
        <v>9</v>
      </c>
      <c r="BL107" s="1139">
        <f>IF(BK107=35,35,BK107+COUNTIF(BK$98:BK106,BK107)/COUNTIF(BK$98:BK$132,BK107))</f>
        <v>9</v>
      </c>
      <c r="BM107" s="1139">
        <f t="shared" si="13"/>
        <v>9</v>
      </c>
      <c r="BN107" s="1139" t="s">
        <v>382</v>
      </c>
      <c r="BO107" s="1139">
        <f>IF(1*ISERROR(VLOOKUP(R107,C86:Q95,15,FALSE)-40)=1,0,VLOOKUP(R107,C86:Q95,15,FALSE)-40)</f>
        <v>7</v>
      </c>
      <c r="BP107" s="1139">
        <f>IF(1*ISERROR(VLOOKUP(R107,E86:Q95,13,FALSE)-40)=1,0,VLOOKUP(R107,E86:Q95,13,FALSE)-40)</f>
        <v>7</v>
      </c>
      <c r="BQ107" s="1139">
        <f>IF(1*ISERROR(VLOOKUP(R107,G86:Q95,11,FALSE)-40)=1,0,VLOOKUP(R107,G86:Q95,11,FALSE)-40)</f>
        <v>7</v>
      </c>
      <c r="BR107" s="1139">
        <f>IF(1*ISERROR(VLOOKUP(R107,I86:Q95,9,FALSE)-40)=1,0,VLOOKUP(R107,I86:Q95,9,FALSE)-40)</f>
        <v>7</v>
      </c>
      <c r="BS107" s="1139">
        <f>IF(1*ISERROR(VLOOKUP(R107,K86:Q95,7,FALSE)-40)=1,0,VLOOKUP(R107,K86:Q95,7,FALSE)-40)</f>
        <v>7</v>
      </c>
      <c r="BT107" s="1139">
        <f>IF(1*ISERROR(VLOOKUP(R107,M86:Q95,5,FALSE)-40)=1,0,VLOOKUP(R107,M86:Q95,5,FALSE)-40)</f>
        <v>7</v>
      </c>
      <c r="BU107" s="1139">
        <v>8</v>
      </c>
      <c r="BV107" s="1139">
        <f t="shared" si="19"/>
        <v>50</v>
      </c>
      <c r="BW107" s="1139">
        <v>2</v>
      </c>
      <c r="BX107" s="1139">
        <f>IF(BW107=35,35,BW107+COUNTIF(BW$98:BW106,BW107)/COUNTIF(BW$98:BW$132,BW107))</f>
        <v>2.5</v>
      </c>
      <c r="BY107" s="1139">
        <f t="shared" si="14"/>
        <v>3</v>
      </c>
      <c r="BZ107" s="1139" t="s">
        <v>382</v>
      </c>
      <c r="CA107" s="1098"/>
      <c r="CB107" s="1098"/>
      <c r="CC107" s="839"/>
    </row>
    <row r="108" spans="1:81" s="1086" customFormat="1">
      <c r="Q108" s="1138">
        <f t="shared" si="6"/>
        <v>11</v>
      </c>
      <c r="R108" s="1139" t="s">
        <v>408</v>
      </c>
      <c r="S108" s="1139">
        <f>IF(1*ISERROR(VLOOKUP(R108,C46:Q55,15,FALSE))=1,0,VLOOKUP(R108,C46:Q55,15,FALSE))</f>
        <v>0</v>
      </c>
      <c r="T108" s="1139">
        <f>IF(1*ISERROR(VLOOKUP(R108,E46:Q55,13,FALSE))=1,0,VLOOKUP(R108,E46:Q55,13,FALSE))</f>
        <v>0</v>
      </c>
      <c r="U108" s="1139">
        <f>IF(1*ISERROR(VLOOKUP(R108,G46:Q55,11,FALSE))=1,0,VLOOKUP(R108,G46:Q55,11,FALSE))</f>
        <v>0</v>
      </c>
      <c r="V108" s="1139">
        <f>IF(1*ISERROR(VLOOKUP(R108,I46:Q55,9,FALSE))=1,0,VLOOKUP(R108,I46:Q55,9,FALSE))</f>
        <v>0</v>
      </c>
      <c r="W108" s="1139">
        <f>IF(1*ISERROR(VLOOKUP(R108,K46:Q55,7,FALSE))=1,0,VLOOKUP(R108,K46:Q55,7,FALSE))</f>
        <v>0</v>
      </c>
      <c r="X108" s="1139">
        <f>IF(1*ISERROR(VLOOKUP(R108,M46:Q55,5,FALSE))=1,0,VLOOKUP(R108,M46:Q55,5,FALSE))</f>
        <v>0</v>
      </c>
      <c r="Y108" s="1139">
        <f t="shared" ref="Y108:Y109" si="22">IF(1*ISERROR(VLOOKUP(R108,M47:Q56,5,FALSE))=1,0,VLOOKUP(R108,M47:Q56,5,FALSE))</f>
        <v>0</v>
      </c>
      <c r="Z108" s="1139">
        <f t="shared" si="7"/>
        <v>0</v>
      </c>
      <c r="AA108" s="1139">
        <f>IF(Z108=0,35,_xlfn.RANK.EQ(Z108,Z98:Z132))</f>
        <v>35</v>
      </c>
      <c r="AB108" s="1139">
        <f>IF(AA108=35,35,AA108+COUNTIF(AA$98:AA107,AA108)/COUNTIF(AA$98:AA$132,AA108))</f>
        <v>35</v>
      </c>
      <c r="AC108" s="1139">
        <f t="shared" si="8"/>
        <v>13</v>
      </c>
      <c r="AD108" s="1139" t="s">
        <v>408</v>
      </c>
      <c r="AE108" s="1139">
        <f>IF(1*ISERROR(VLOOKUP(R108,C56:Q65,15,FALSE)-10)=1,0,VLOOKUP(R108,C56:Q65,15,FALSE)-10)</f>
        <v>0</v>
      </c>
      <c r="AF108" s="1139">
        <f>IF(1*ISERROR(VLOOKUP(R108,E56:Q65,13,FALSE)-10)=1,0,VLOOKUP(R108,E56:Q65,13,FALSE)-10)</f>
        <v>0</v>
      </c>
      <c r="AG108" s="1139">
        <f>IF(1*ISERROR(VLOOKUP(R108,G56:Q65,11,FALSE)-10)=1,0,VLOOKUP(R108,G56:Q65,11,FALSE)-10)</f>
        <v>0</v>
      </c>
      <c r="AH108" s="1139">
        <f>IF(1*ISERROR(VLOOKUP(R108,I56:Q65,9,FALSE)-10)=1,0,VLOOKUP(R108,I56:Q65,9,FALSE)-10)</f>
        <v>0</v>
      </c>
      <c r="AI108" s="1139">
        <f>IF(1*ISERROR(VLOOKUP(R108,K56:Q65,7,FALSE)-10)=1,0,VLOOKUP(R108,K56:Q65,7,FALSE)-10)</f>
        <v>0</v>
      </c>
      <c r="AJ108" s="1139">
        <f>IF(1*ISERROR(VLOOKUP(R108,M56:Q65,5,FALSE)-10)=1,0,VLOOKUP(R108,M56:Q65,5,FALSE)-10)</f>
        <v>0</v>
      </c>
      <c r="AK108" s="1139">
        <f t="shared" si="17"/>
        <v>0</v>
      </c>
      <c r="AL108" s="1139">
        <f t="shared" si="15"/>
        <v>0</v>
      </c>
      <c r="AM108" s="1139">
        <f>IF(AL108=0,35,_xlfn.RANK.EQ(AL108,AL98:AL132))</f>
        <v>35</v>
      </c>
      <c r="AN108" s="1139">
        <f>IF(AM108=35,35,AM108+COUNTIF(AM$98:AM107,AM108)/COUNTIF(AM$98:AM$132,AM108))</f>
        <v>35</v>
      </c>
      <c r="AO108" s="1139">
        <f t="shared" si="9"/>
        <v>12</v>
      </c>
      <c r="AP108" s="1139" t="s">
        <v>408</v>
      </c>
      <c r="AQ108" s="1139">
        <f>IF(1*ISERROR(VLOOKUP(R108,C66:Q75,15,FALSE)-20)=1,0,VLOOKUP(R108,C66:Q75,15,FALSE)-20)</f>
        <v>0</v>
      </c>
      <c r="AR108" s="1139">
        <f>IF(1*ISERROR(VLOOKUP(R108,E66:Q75,13,FALSE)-20)=1,0,VLOOKUP(R108,E66:Q75,13,FALSE)-20)</f>
        <v>0</v>
      </c>
      <c r="AS108" s="1139">
        <f>IF(1*ISERROR(VLOOKUP(R108,G66:Q75,11,FALSE)-20)=1,0,VLOOKUP(R108,G66:Q75,11,FALSE)-20)</f>
        <v>0</v>
      </c>
      <c r="AT108" s="1139">
        <f>IF(1*ISERROR(VLOOKUP(R108,I66:Q75,9,FALSE)-20)=1,0,VLOOKUP(R108,I66:Q75,9,FALSE)-20)</f>
        <v>0</v>
      </c>
      <c r="AU108" s="1139">
        <f>IF(1*ISERROR(VLOOKUP(R108,K66:Q75,7,FALSE)-20)=1,0,VLOOKUP(R108,K66:Q75,7,FALSE)-20)</f>
        <v>0</v>
      </c>
      <c r="AV108" s="1139">
        <f>IF(1*ISERROR(VLOOKUP(R108,M66:Q75,5,FALSE)-20)=1,0,VLOOKUP(R108,M66:Q75,5,FALSE)-20)</f>
        <v>0</v>
      </c>
      <c r="AW108" s="1139">
        <f t="shared" si="16"/>
        <v>0</v>
      </c>
      <c r="AX108" s="1139">
        <f t="shared" si="10"/>
        <v>0</v>
      </c>
      <c r="AY108" s="1139">
        <f>IF(AX108=0,35,_xlfn.RANK.EQ(AX108,AX98:AX132))</f>
        <v>35</v>
      </c>
      <c r="AZ108" s="1139">
        <f>IF(AY108=35,35,AY108+COUNTIF(AY$98:AY107,AY108)/COUNTIF(AY$98:AY$132,AY108))</f>
        <v>35</v>
      </c>
      <c r="BA108" s="1139">
        <f t="shared" si="11"/>
        <v>13</v>
      </c>
      <c r="BB108" s="1139" t="s">
        <v>408</v>
      </c>
      <c r="BC108" s="1139">
        <f>IF(1*ISERROR(VLOOKUP(R108,C76:Q85,15,FALSE)-30)=1,0,VLOOKUP(R108,C76:Q85,15,FALSE)-30)</f>
        <v>0</v>
      </c>
      <c r="BD108" s="1139">
        <f>IF(1*ISERROR(VLOOKUP(R108,E76:Q85,13,FALSE)-30)=1,0,VLOOKUP(R108,E76:Q85,13,FALSE)-30)</f>
        <v>0</v>
      </c>
      <c r="BE108" s="1139">
        <f>IF(1*ISERROR(VLOOKUP(R108,G76:Q85,11,FALSE)-30)=1,0,VLOOKUP(R108,G76:Q85,11,FALSE)-30)</f>
        <v>0</v>
      </c>
      <c r="BF108" s="1139">
        <f>IF(1*ISERROR(VLOOKUP(R108,I76:Q85,9,FALSE)-30)=1,0,VLOOKUP(R108,I76:Q85,9,FALSE)-30)</f>
        <v>0</v>
      </c>
      <c r="BG108" s="1139">
        <f>IF(1*ISERROR(VLOOKUP(R108,K76:Q85,7,FALSE)-30)=1,0,VLOOKUP(R108,K76:Q85,7,FALSE)-30)</f>
        <v>0</v>
      </c>
      <c r="BH108" s="1139">
        <f>IF(1*ISERROR(VLOOKUP(R108,M76:Q85,5,FALSE)-30)=1,0,VLOOKUP(R108,M76:Q85,5,FALSE)-30)</f>
        <v>0</v>
      </c>
      <c r="BI108" s="1139">
        <f t="shared" ref="BI108:BI116" si="23">IF(1*ISERROR(VLOOKUP(R108,M77:R86,5,FALSE)-30)=1,0,VLOOKUP(R108,M77:R86,5,FALSE)-30)</f>
        <v>0</v>
      </c>
      <c r="BJ108" s="1139">
        <f t="shared" si="18"/>
        <v>0</v>
      </c>
      <c r="BK108" s="1139">
        <f t="shared" si="12"/>
        <v>35</v>
      </c>
      <c r="BL108" s="1139">
        <f>IF(BK108=35,35,BK108+COUNTIF(BK$98:BK107,BK108)/COUNTIF(BK$98:BK$132,BK108))</f>
        <v>35</v>
      </c>
      <c r="BM108" s="1139">
        <f t="shared" si="13"/>
        <v>13</v>
      </c>
      <c r="BN108" s="1139" t="s">
        <v>408</v>
      </c>
      <c r="BO108" s="1139">
        <f>IF(1*ISERROR(VLOOKUP(R108,C86:Q95,15,FALSE)-40)=1,0,VLOOKUP(R108,C86:Q95,15,FALSE)-40)</f>
        <v>0</v>
      </c>
      <c r="BP108" s="1139">
        <f>IF(1*ISERROR(VLOOKUP(R108,E86:Q95,13,FALSE)-40)=1,0,VLOOKUP(R108,E86:Q95,13,FALSE)-40)</f>
        <v>0</v>
      </c>
      <c r="BQ108" s="1139">
        <f>IF(1*ISERROR(VLOOKUP(R108,G86:Q95,11,FALSE)-40)=1,0,VLOOKUP(R108,G86:Q95,11,FALSE)-40)</f>
        <v>0</v>
      </c>
      <c r="BR108" s="1139">
        <f>IF(1*ISERROR(VLOOKUP(R108,I86:Q95,9,FALSE)-40)=1,0,VLOOKUP(R108,I86:Q95,9,FALSE)-40)</f>
        <v>0</v>
      </c>
      <c r="BS108" s="1139">
        <f>IF(1*ISERROR(VLOOKUP(R108,K86:Q95,7,FALSE)-40)=1,0,VLOOKUP(R108,K86:Q95,7,FALSE)-40)</f>
        <v>0</v>
      </c>
      <c r="BT108" s="1139">
        <f>IF(1*ISERROR(VLOOKUP(R108,M86:Q95,5,FALSE)-40)=1,0,VLOOKUP(R108,M86:Q95,5,FALSE)-40)</f>
        <v>0</v>
      </c>
      <c r="BU108" s="1139">
        <f>IF(1*ISERROR(VLOOKUP(R108,M86:R95,5,FALSE)-40)=1,0,VLOOKUP(R108,M86:R95,5,FALSE)-40)</f>
        <v>0</v>
      </c>
      <c r="BV108" s="1139">
        <f t="shared" si="19"/>
        <v>0</v>
      </c>
      <c r="BW108" s="1139">
        <f>IF(BV108=0,35,_xlfn.RANK.EQ(BV108,BV98:BV132))</f>
        <v>35</v>
      </c>
      <c r="BX108" s="1139">
        <f>IF(BW108=35,35,BW108+COUNTIF(BW$98:BW107,BW108)/COUNTIF(BW$98:BW$132,BW108))</f>
        <v>35</v>
      </c>
      <c r="BY108" s="1139">
        <f t="shared" si="14"/>
        <v>11</v>
      </c>
      <c r="BZ108" s="1139" t="s">
        <v>408</v>
      </c>
      <c r="CA108" s="1098"/>
      <c r="CB108" s="1098"/>
      <c r="CC108" s="839"/>
    </row>
    <row r="109" spans="1:81" s="1086" customFormat="1">
      <c r="Q109" s="1138">
        <f t="shared" si="6"/>
        <v>12</v>
      </c>
      <c r="R109" s="1139" t="s">
        <v>409</v>
      </c>
      <c r="S109" s="1139">
        <f>IF(1*ISERROR(VLOOKUP(R109,C46:Q55,15,FALSE))=1,0,VLOOKUP(R109,C46:Q55,15,FALSE))</f>
        <v>0</v>
      </c>
      <c r="T109" s="1139">
        <f>IF(1*ISERROR(VLOOKUP(R109,E46:Q55,13,FALSE))=1,0,VLOOKUP(R109,E46:Q55,13,FALSE))</f>
        <v>0</v>
      </c>
      <c r="U109" s="1139">
        <f>IF(1*ISERROR(VLOOKUP(R109,G46:Q55,11,FALSE))=1,0,VLOOKUP(R109,G46:Q55,11,FALSE))</f>
        <v>0</v>
      </c>
      <c r="V109" s="1139">
        <f>IF(1*ISERROR(VLOOKUP(R109,I46:Q55,9,FALSE))=1,0,VLOOKUP(R109,I46:Q55,9,FALSE))</f>
        <v>0</v>
      </c>
      <c r="W109" s="1139">
        <f>IF(1*ISERROR(VLOOKUP(R109,K46:Q55,7,FALSE))=1,0,VLOOKUP(R109,K46:Q55,7,FALSE))</f>
        <v>0</v>
      </c>
      <c r="X109" s="1139">
        <f>IF(1*ISERROR(VLOOKUP(R109,M46:Q55,5,FALSE))=1,0,VLOOKUP(R109,M46:Q55,5,FALSE))</f>
        <v>0</v>
      </c>
      <c r="Y109" s="1139">
        <f t="shared" si="22"/>
        <v>0</v>
      </c>
      <c r="Z109" s="1139">
        <f t="shared" si="7"/>
        <v>0</v>
      </c>
      <c r="AA109" s="1139">
        <f>IF(Z109=0,35,_xlfn.RANK.EQ(Z109,Z98:Z132))</f>
        <v>35</v>
      </c>
      <c r="AB109" s="1139">
        <f>IF(AA109=35,35,AA109+COUNTIF(AA$98:AA108,AA109)/COUNTIF(AA$98:AA$132,AA109))</f>
        <v>35</v>
      </c>
      <c r="AC109" s="1139">
        <f t="shared" si="8"/>
        <v>13</v>
      </c>
      <c r="AD109" s="1139" t="s">
        <v>409</v>
      </c>
      <c r="AE109" s="1139">
        <f>IF(1*ISERROR(VLOOKUP(R109,C56:Q65,15,FALSE)-10)=1,0,VLOOKUP(R109,C56:Q65,15,FALSE)-10)</f>
        <v>0</v>
      </c>
      <c r="AF109" s="1139">
        <f>IF(1*ISERROR(VLOOKUP(R109,E56:Q65,13,FALSE)-10)=1,0,VLOOKUP(R109,E56:Q65,13,FALSE)-10)</f>
        <v>0</v>
      </c>
      <c r="AG109" s="1139">
        <f>IF(1*ISERROR(VLOOKUP(R109,G56:Q65,11,FALSE)-10)=1,0,VLOOKUP(R109,G56:Q65,11,FALSE)-10)</f>
        <v>0</v>
      </c>
      <c r="AH109" s="1139">
        <f>IF(1*ISERROR(VLOOKUP(R109,I56:Q65,9,FALSE)-10)=1,0,VLOOKUP(R109,I56:Q65,9,FALSE)-10)</f>
        <v>0</v>
      </c>
      <c r="AI109" s="1139">
        <f>IF(1*ISERROR(VLOOKUP(R109,K56:Q65,7,FALSE)-10)=1,0,VLOOKUP(R109,K56:Q65,7,FALSE)-10)</f>
        <v>0</v>
      </c>
      <c r="AJ109" s="1139">
        <f>IF(1*ISERROR(VLOOKUP(R109,M56:Q65,5,FALSE)-10)=1,0,VLOOKUP(R109,M56:Q65,5,FALSE)-10)</f>
        <v>0</v>
      </c>
      <c r="AK109" s="1139">
        <f t="shared" si="17"/>
        <v>0</v>
      </c>
      <c r="AL109" s="1139">
        <f t="shared" si="15"/>
        <v>0</v>
      </c>
      <c r="AM109" s="1139">
        <f>IF(AL109=0,35,_xlfn.RANK.EQ(AL109,AL98:AL132))</f>
        <v>35</v>
      </c>
      <c r="AN109" s="1139">
        <f>IF(AM109=35,35,AM109+COUNTIF(AM$98:AM108,AM109)/COUNTIF(AM$98:AM$132,AM109))</f>
        <v>35</v>
      </c>
      <c r="AO109" s="1139">
        <f t="shared" si="9"/>
        <v>12</v>
      </c>
      <c r="AP109" s="1139" t="s">
        <v>409</v>
      </c>
      <c r="AQ109" s="1139">
        <f>IF(1*ISERROR(VLOOKUP(R109,C66:Q75,15,FALSE)-20)=1,0,VLOOKUP(R109,C66:Q75,15,FALSE)-20)</f>
        <v>0</v>
      </c>
      <c r="AR109" s="1139">
        <f>IF(1*ISERROR(VLOOKUP(R109,E66:Q75,13,FALSE)-20)=1,0,VLOOKUP(R109,E66:Q75,13,FALSE)-20)</f>
        <v>0</v>
      </c>
      <c r="AS109" s="1139">
        <f>IF(1*ISERROR(VLOOKUP(R109,G66:Q75,11,FALSE)-20)=1,0,VLOOKUP(R109,G66:Q75,11,FALSE)-20)</f>
        <v>0</v>
      </c>
      <c r="AT109" s="1139">
        <f>IF(1*ISERROR(VLOOKUP(R109,I66:Q75,9,FALSE)-20)=1,0,VLOOKUP(R109,I66:Q75,9,FALSE)-20)</f>
        <v>0</v>
      </c>
      <c r="AU109" s="1139">
        <f>IF(1*ISERROR(VLOOKUP(R109,K66:Q75,7,FALSE)-20)=1,0,VLOOKUP(R109,K66:Q75,7,FALSE)-20)</f>
        <v>0</v>
      </c>
      <c r="AV109" s="1139">
        <f>IF(1*ISERROR(VLOOKUP(R109,M66:Q75,5,FALSE)-20)=1,0,VLOOKUP(R109,M66:Q75,5,FALSE)-20)</f>
        <v>0</v>
      </c>
      <c r="AW109" s="1139">
        <f t="shared" si="16"/>
        <v>0</v>
      </c>
      <c r="AX109" s="1139">
        <f t="shared" si="10"/>
        <v>0</v>
      </c>
      <c r="AY109" s="1139">
        <f>IF(AX109=0,35,_xlfn.RANK.EQ(AX109,AX98:AX132))</f>
        <v>35</v>
      </c>
      <c r="AZ109" s="1139">
        <f>IF(AY109=35,35,AY109+COUNTIF(AY$98:AY108,AY109)/COUNTIF(AY$98:AY$132,AY109))</f>
        <v>35</v>
      </c>
      <c r="BA109" s="1139">
        <f t="shared" si="11"/>
        <v>13</v>
      </c>
      <c r="BB109" s="1139" t="s">
        <v>409</v>
      </c>
      <c r="BC109" s="1139">
        <f>IF(1*ISERROR(VLOOKUP(R109,C76:Q85,15,FALSE)-30)=1,0,VLOOKUP(R109,C76:Q85,15,FALSE)-30)</f>
        <v>0</v>
      </c>
      <c r="BD109" s="1139">
        <f>IF(1*ISERROR(VLOOKUP(R109,E76:Q85,13,FALSE)-30)=1,0,VLOOKUP(R109,E76:Q85,13,FALSE)-30)</f>
        <v>0</v>
      </c>
      <c r="BE109" s="1139">
        <f>IF(1*ISERROR(VLOOKUP(R109,G76:Q85,11,FALSE)-30)=1,0,VLOOKUP(R109,G76:Q85,11,FALSE)-30)</f>
        <v>0</v>
      </c>
      <c r="BF109" s="1139">
        <f>IF(1*ISERROR(VLOOKUP(R109,I76:Q85,9,FALSE)-30)=1,0,VLOOKUP(R109,I76:Q85,9,FALSE)-30)</f>
        <v>0</v>
      </c>
      <c r="BG109" s="1139">
        <f>IF(1*ISERROR(VLOOKUP(R109,K76:Q85,7,FALSE)-30)=1,0,VLOOKUP(R109,K76:Q85,7,FALSE)-30)</f>
        <v>0</v>
      </c>
      <c r="BH109" s="1139">
        <f>IF(1*ISERROR(VLOOKUP(R109,M76:Q85,5,FALSE)-30)=1,0,VLOOKUP(R109,M76:Q85,5,FALSE)-30)</f>
        <v>0</v>
      </c>
      <c r="BI109" s="1139">
        <f t="shared" si="23"/>
        <v>0</v>
      </c>
      <c r="BJ109" s="1139">
        <f t="shared" si="18"/>
        <v>0</v>
      </c>
      <c r="BK109" s="1139">
        <f t="shared" si="12"/>
        <v>35</v>
      </c>
      <c r="BL109" s="1139">
        <f>IF(BK109=35,35,BK109+COUNTIF(BK$98:BK108,BK109)/COUNTIF(BK$98:BK$132,BK109))</f>
        <v>35</v>
      </c>
      <c r="BM109" s="1139">
        <f t="shared" si="13"/>
        <v>13</v>
      </c>
      <c r="BN109" s="1139" t="s">
        <v>409</v>
      </c>
      <c r="BO109" s="1139">
        <f>IF(1*ISERROR(VLOOKUP(R109,C86:Q95,15,FALSE)-40)=1,0,VLOOKUP(R109,C86:Q95,15,FALSE)-40)</f>
        <v>0</v>
      </c>
      <c r="BP109" s="1139">
        <f>IF(1*ISERROR(VLOOKUP(R109,E86:Q95,13,FALSE)-40)=1,0,VLOOKUP(R109,E86:Q95,13,FALSE)-40)</f>
        <v>0</v>
      </c>
      <c r="BQ109" s="1139">
        <f>IF(1*ISERROR(VLOOKUP(R109,G86:Q95,11,FALSE)-40)=1,0,VLOOKUP(R109,G86:Q95,11,FALSE)-40)</f>
        <v>0</v>
      </c>
      <c r="BR109" s="1139">
        <f>IF(1*ISERROR(VLOOKUP(R109,I86:Q95,9,FALSE)-40)=1,0,VLOOKUP(R109,I86:Q95,9,FALSE)-40)</f>
        <v>0</v>
      </c>
      <c r="BS109" s="1139">
        <f>IF(1*ISERROR(VLOOKUP(R109,K86:Q95,7,FALSE)-40)=1,0,VLOOKUP(R109,K86:Q95,7,FALSE)-40)</f>
        <v>0</v>
      </c>
      <c r="BT109" s="1139">
        <f>IF(1*ISERROR(VLOOKUP(R109,M86:Q95,5,FALSE)-40)=1,0,VLOOKUP(R109,M86:Q95,5,FALSE)-40)</f>
        <v>0</v>
      </c>
      <c r="BU109" s="1139">
        <f>IF(1*ISERROR(VLOOKUP(R109,M86:R95,5,FALSE)-40)=1,0,VLOOKUP(R109,M86:R95,5,FALSE)-40)</f>
        <v>0</v>
      </c>
      <c r="BV109" s="1139">
        <f t="shared" si="19"/>
        <v>0</v>
      </c>
      <c r="BW109" s="1139">
        <f>IF(BV109=0,35,_xlfn.RANK.EQ(BV109,BV98:BV132))</f>
        <v>35</v>
      </c>
      <c r="BX109" s="1139">
        <f>IF(BW109=35,35,BW109+COUNTIF(BW$98:BW108,BW109)/COUNTIF(BW$98:BW$132,BW109))</f>
        <v>35</v>
      </c>
      <c r="BY109" s="1139">
        <f t="shared" si="14"/>
        <v>11</v>
      </c>
      <c r="BZ109" s="1139" t="s">
        <v>409</v>
      </c>
      <c r="CA109" s="1098"/>
      <c r="CB109" s="1098"/>
      <c r="CC109" s="839"/>
    </row>
    <row r="110" spans="1:81" s="1086" customFormat="1">
      <c r="Q110" s="1138">
        <f t="shared" si="6"/>
        <v>13</v>
      </c>
      <c r="R110" s="1139" t="s">
        <v>376</v>
      </c>
      <c r="S110" s="1139">
        <f>IF(1*ISERROR(VLOOKUP(R110,C46:Q55,15,FALSE))=1,0,VLOOKUP(R110,C46:Q55,15,FALSE))</f>
        <v>1</v>
      </c>
      <c r="T110" s="1139">
        <f>IF(1*ISERROR(VLOOKUP(R110,E46:Q55,13,FALSE))=1,0,VLOOKUP(R110,E46:Q55,13,FALSE))</f>
        <v>1</v>
      </c>
      <c r="U110" s="1139">
        <f>IF(1*ISERROR(VLOOKUP(R110,G46:Q55,11,FALSE))=1,0,VLOOKUP(R110,G46:Q55,11,FALSE))</f>
        <v>2</v>
      </c>
      <c r="V110" s="1139">
        <f>IF(1*ISERROR(VLOOKUP(R110,I46:Q55,9,FALSE))=1,0,VLOOKUP(R110,I46:Q55,9,FALSE))</f>
        <v>2</v>
      </c>
      <c r="W110" s="1139">
        <f>IF(1*ISERROR(VLOOKUP(R110,K46:Q55,7,FALSE))=1,0,VLOOKUP(R110,K46:Q55,7,FALSE))</f>
        <v>2</v>
      </c>
      <c r="X110" s="1139">
        <f>IF(1*ISERROR(VLOOKUP(R110,M46:Q55,5,FALSE))=1,0,VLOOKUP(R110,M46:Q55,5,FALSE))</f>
        <v>2</v>
      </c>
      <c r="Y110" s="1139">
        <f>IF(1*ISERROR(VLOOKUP(R110,M46:Q55,5,FALSE))=1,0,VLOOKUP(R110,M46:Q55,5,FALSE))</f>
        <v>2</v>
      </c>
      <c r="Z110" s="1139">
        <f t="shared" si="7"/>
        <v>10</v>
      </c>
      <c r="AA110" s="1139">
        <f>IF(Z110=0,35,_xlfn.RANK.EQ(Z110,Z98:Z132))</f>
        <v>11</v>
      </c>
      <c r="AB110" s="1139">
        <f>IF(AA110=35,35,AA110+COUNTIF(AA$98:AA109,AA110)/COUNTIF(AA$98:AA$132,AA110))</f>
        <v>11.5</v>
      </c>
      <c r="AC110" s="1139">
        <f t="shared" si="8"/>
        <v>12</v>
      </c>
      <c r="AD110" s="1139" t="s">
        <v>376</v>
      </c>
      <c r="AE110" s="1139">
        <f>IF(1*ISERROR(VLOOKUP(R110,C56:Q65,15,FALSE)-10)=1,0,VLOOKUP(R110,C56:Q65,15,FALSE)-10)</f>
        <v>6</v>
      </c>
      <c r="AF110" s="1139">
        <f>IF(1*ISERROR(VLOOKUP(R110,E56:Q65,13,FALSE)-10)=1,0,VLOOKUP(R110,E56:Q65,13,FALSE)-10)</f>
        <v>6</v>
      </c>
      <c r="AG110" s="1139">
        <f>IF(1*ISERROR(VLOOKUP(R110,G56:Q65,11,FALSE)-10)=1,0,VLOOKUP(R110,G56:Q65,11,FALSE)-10)</f>
        <v>6</v>
      </c>
      <c r="AH110" s="1139">
        <f>IF(1*ISERROR(VLOOKUP(R110,I56:Q65,9,FALSE)-10)=1,0,VLOOKUP(R110,I56:Q65,9,FALSE)-10)</f>
        <v>6</v>
      </c>
      <c r="AI110" s="1139">
        <f>IF(1*ISERROR(VLOOKUP(R110,K56:Q65,7,FALSE)-10)=1,0,VLOOKUP(R110,K56:Q65,7,FALSE)-10)</f>
        <v>5</v>
      </c>
      <c r="AJ110" s="1139">
        <f>IF(1*ISERROR(VLOOKUP(R110,M56:Q65,5,FALSE)-10)=1,0,VLOOKUP(R110,M56:Q65,5,FALSE)-10)</f>
        <v>4</v>
      </c>
      <c r="AK110" s="1139">
        <v>6</v>
      </c>
      <c r="AL110" s="1139">
        <f t="shared" si="15"/>
        <v>33</v>
      </c>
      <c r="AM110" s="1139">
        <f>IF(AL110=0,35,_xlfn.RANK.EQ(AL110,AL98:AL132))</f>
        <v>5</v>
      </c>
      <c r="AN110" s="1139">
        <f>IF(AM110=35,35,AM110+COUNTIF(AM$98:AM109,AM110)/COUNTIF(AM$98:AM$132,AM110))</f>
        <v>5</v>
      </c>
      <c r="AO110" s="1139">
        <f t="shared" si="9"/>
        <v>5</v>
      </c>
      <c r="AP110" s="1139" t="s">
        <v>376</v>
      </c>
      <c r="AQ110" s="1139">
        <f>IF(1*ISERROR(VLOOKUP(R110,C66:Q75,15,FALSE)-20)=1,0,VLOOKUP(R110,C66:Q75,15,FALSE)-20)</f>
        <v>8</v>
      </c>
      <c r="AR110" s="1139">
        <f>IF(1*ISERROR(VLOOKUP(R110,E66:Q75,13,FALSE)-20)=1,0,VLOOKUP(R110,E66:Q75,13,FALSE)-20)</f>
        <v>8</v>
      </c>
      <c r="AS110" s="1139">
        <f>IF(1*ISERROR(VLOOKUP(R110,G66:Q75,11,FALSE)-20)=1,0,VLOOKUP(R110,G66:Q75,11,FALSE)-20)</f>
        <v>9</v>
      </c>
      <c r="AT110" s="1139">
        <f>IF(1*ISERROR(VLOOKUP(R110,I66:Q75,9,FALSE)-20)=1,0,VLOOKUP(R110,I66:Q75,9,FALSE)-20)</f>
        <v>9</v>
      </c>
      <c r="AU110" s="1139">
        <f>IF(1*ISERROR(VLOOKUP(R110,K66:Q75,7,FALSE)-20)=1,0,VLOOKUP(R110,K66:Q75,7,FALSE)-20)</f>
        <v>8</v>
      </c>
      <c r="AV110" s="1139">
        <f>IF(1*ISERROR(VLOOKUP(R110,M66:Q75,5,FALSE)-20)=1,0,VLOOKUP(R110,M66:Q75,5,FALSE)-20)</f>
        <v>4</v>
      </c>
      <c r="AW110" s="1139">
        <f>IF(1*ISERROR(VLOOKUP(R110,M66:R75,5,FALSE)-20)=1,0,VLOOKUP(R110,M66:R78,5,FALSE)-20)</f>
        <v>4</v>
      </c>
      <c r="AX110" s="1139">
        <f t="shared" si="10"/>
        <v>50</v>
      </c>
      <c r="AY110" s="1139">
        <f>IF(AX110=0,35,_xlfn.RANK.EQ(AX110,AX98:AX132))</f>
        <v>2</v>
      </c>
      <c r="AZ110" s="1139">
        <f>IF(AY110=35,35,AY110+COUNTIF(AY$98:AY109,AY110)/COUNTIF(AY$98:AY$132,AY110))</f>
        <v>2.5</v>
      </c>
      <c r="BA110" s="1139">
        <f t="shared" si="11"/>
        <v>3</v>
      </c>
      <c r="BB110" s="1139" t="s">
        <v>376</v>
      </c>
      <c r="BC110" s="1139">
        <f>IF(1*ISERROR(VLOOKUP(R110,C76:Q85,15,FALSE)-30)=1,0,VLOOKUP(R110,C76:Q85,15,FALSE)-30)</f>
        <v>0</v>
      </c>
      <c r="BD110" s="1139">
        <f>IF(1*ISERROR(VLOOKUP(R110,E76:Q85,13,FALSE)-30)=1,0,VLOOKUP(R110,E76:Q85,13,FALSE)-30)</f>
        <v>0</v>
      </c>
      <c r="BE110" s="1139">
        <f>IF(1*ISERROR(VLOOKUP(R110,G76:Q85,11,FALSE)-30)=1,0,VLOOKUP(R110,G76:Q85,11,FALSE)-30)</f>
        <v>0</v>
      </c>
      <c r="BF110" s="1139">
        <f>IF(1*ISERROR(VLOOKUP(R110,I76:Q85,9,FALSE)-30)=1,0,VLOOKUP(R110,I76:Q85,9,FALSE)-30)</f>
        <v>0</v>
      </c>
      <c r="BG110" s="1139">
        <f>IF(1*ISERROR(VLOOKUP(R110,K76:Q85,7,FALSE)-30)=1,0,VLOOKUP(R110,K76:Q85,7,FALSE)-30)</f>
        <v>0</v>
      </c>
      <c r="BH110" s="1139">
        <f>IF(1*ISERROR(VLOOKUP(R110,M76:Q85,5,FALSE)-30)=1,0,VLOOKUP(R110,M76:Q85,5,FALSE)-30)</f>
        <v>0</v>
      </c>
      <c r="BI110" s="1139">
        <f>IF(1*ISERROR(VLOOKUP(R110,M76:R85,5,FALSE)-30)=1,0,VLOOKUP(R110,M76:R85,5,FALSE)-30)</f>
        <v>0</v>
      </c>
      <c r="BJ110" s="1139">
        <f t="shared" si="18"/>
        <v>0</v>
      </c>
      <c r="BK110" s="1139">
        <f t="shared" si="12"/>
        <v>35</v>
      </c>
      <c r="BL110" s="1139">
        <f>IF(BK110=35,35,BK110+COUNTIF(BK$98:BK109,BK110)/COUNTIF(BK$98:BK$132,BK110))</f>
        <v>35</v>
      </c>
      <c r="BM110" s="1139">
        <f t="shared" si="13"/>
        <v>13</v>
      </c>
      <c r="BN110" s="1139" t="s">
        <v>376</v>
      </c>
      <c r="BO110" s="1139">
        <f>IF(1*ISERROR(VLOOKUP(R110,C86:Q95,15,FALSE)-40)=1,0,VLOOKUP(R110,C86:Q95,15,FALSE)-40)</f>
        <v>5</v>
      </c>
      <c r="BP110" s="1139">
        <f>IF(1*ISERROR(VLOOKUP(R110,E86:Q95,13,FALSE)-40)=1,0,VLOOKUP(R110,E86:Q95,13,FALSE)-40)</f>
        <v>5</v>
      </c>
      <c r="BQ110" s="1139">
        <f>IF(1*ISERROR(VLOOKUP(R110,G86:Q95,11,FALSE)-40)=1,0,VLOOKUP(R110,G86:Q95,11,FALSE)-40)</f>
        <v>5</v>
      </c>
      <c r="BR110" s="1139">
        <f>IF(1*ISERROR(VLOOKUP(R110,I86:Q95,9,FALSE)-40)=1,0,VLOOKUP(R110,I86:Q95,9,FALSE)-40)</f>
        <v>4</v>
      </c>
      <c r="BS110" s="1139">
        <f>IF(1*ISERROR(VLOOKUP(R110,K86:Q95,7,FALSE)-40)=1,0,VLOOKUP(R110,K86:Q95,7,FALSE)-40)</f>
        <v>4</v>
      </c>
      <c r="BT110" s="1139">
        <f>IF(1*ISERROR(VLOOKUP(R110,M86:Q95,5,FALSE)-40)=1,0,VLOOKUP(R110,M86:Q95,5,FALSE)-40)</f>
        <v>3</v>
      </c>
      <c r="BU110" s="1139">
        <f>IF(1*ISERROR(VLOOKUP(R110,M86:R95,5,FALSE)-40)=1,0,VLOOKUP(R110,M86:R95,5,FALSE)-40)</f>
        <v>3</v>
      </c>
      <c r="BV110" s="1139">
        <f t="shared" si="19"/>
        <v>29</v>
      </c>
      <c r="BW110" s="1139">
        <f>IF(BV110=0,35,_xlfn.RANK.EQ(BV110,BV98:BV132))</f>
        <v>7</v>
      </c>
      <c r="BX110" s="1139">
        <f>IF(BW110=35,35,BW110+COUNTIF(BW$98:BW109,BW110)/COUNTIF(BW$98:BW$132,BW110))</f>
        <v>7</v>
      </c>
      <c r="BY110" s="1139">
        <f t="shared" si="14"/>
        <v>7</v>
      </c>
      <c r="BZ110" s="1139" t="s">
        <v>376</v>
      </c>
      <c r="CA110" s="1098"/>
      <c r="CB110" s="1098"/>
      <c r="CC110" s="839"/>
    </row>
    <row r="111" spans="1:81" s="1086" customFormat="1">
      <c r="Q111" s="1138">
        <f t="shared" si="6"/>
        <v>14</v>
      </c>
      <c r="R111" s="1139" t="s">
        <v>383</v>
      </c>
      <c r="S111" s="1139">
        <f>IF(1*ISERROR(VLOOKUP(R111,C46:Q55,15,FALSE))=1,0,VLOOKUP(R111,C46:Q55,15,FALSE))</f>
        <v>8</v>
      </c>
      <c r="T111" s="1139">
        <f>IF(1*ISERROR(VLOOKUP(R111,E46:Q55,13,FALSE))=1,0,VLOOKUP(R111,E46:Q55,13,FALSE))</f>
        <v>8</v>
      </c>
      <c r="U111" s="1139">
        <f>IF(1*ISERROR(VLOOKUP(R111,G46:Q55,11,FALSE))=1,0,VLOOKUP(R111,G46:Q55,11,FALSE))</f>
        <v>9</v>
      </c>
      <c r="V111" s="1139">
        <f>IF(1*ISERROR(VLOOKUP(R111,I46:Q55,9,FALSE))=1,0,VLOOKUP(R111,I46:Q55,9,FALSE))</f>
        <v>0</v>
      </c>
      <c r="W111" s="1139">
        <f>IF(1*ISERROR(VLOOKUP(R111,K46:Q55,7,FALSE))=1,0,VLOOKUP(R111,K46:Q55,7,FALSE))</f>
        <v>0</v>
      </c>
      <c r="X111" s="1139">
        <f>IF(1*ISERROR(VLOOKUP(R111,M46:Q55,5,FALSE))=1,0,VLOOKUP(R111,M46:Q55,5,FALSE))</f>
        <v>9</v>
      </c>
      <c r="Y111" s="1139">
        <f>IF(1*ISERROR(VLOOKUP(R111,K46:Q55,5,FALSE))=1,0,VLOOKUP(R111,K46:Q55,5,FALSE))</f>
        <v>0</v>
      </c>
      <c r="Z111" s="1139">
        <f t="shared" si="7"/>
        <v>34</v>
      </c>
      <c r="AA111" s="1139">
        <f>IF(Z111=0,35,_xlfn.RANK.EQ(Z111,Z98:Z132))</f>
        <v>4</v>
      </c>
      <c r="AB111" s="1139">
        <f>IF(AA111=35,35,AA111+COUNTIF(AA$98:AA110,AA111)/COUNTIF(AA$98:AA$132,AA111))</f>
        <v>4.5</v>
      </c>
      <c r="AC111" s="1139">
        <f t="shared" si="8"/>
        <v>5</v>
      </c>
      <c r="AD111" s="1139" t="s">
        <v>383</v>
      </c>
      <c r="AE111" s="1139">
        <f>IF(1*ISERROR(VLOOKUP(R111,C56:Q65,15,FALSE)-10)=1,0,VLOOKUP(R111,C56:Q65,15,FALSE)-10)</f>
        <v>0</v>
      </c>
      <c r="AF111" s="1139">
        <f>IF(1*ISERROR(VLOOKUP(R111,E56:Q65,13,FALSE)-10)=1,0,VLOOKUP(R111,E56:Q65,13,FALSE)-10)</f>
        <v>0</v>
      </c>
      <c r="AG111" s="1139">
        <f>IF(1*ISERROR(VLOOKUP(R111,G56:Q65,11,FALSE)-10)=1,0,VLOOKUP(R111,G56:Q65,11,FALSE)-10)</f>
        <v>0</v>
      </c>
      <c r="AH111" s="1139">
        <f>IF(1*ISERROR(VLOOKUP(R111,I56:Q65,9,FALSE)-10)=1,0,VLOOKUP(R111,I56:Q65,9,FALSE)-10)</f>
        <v>0</v>
      </c>
      <c r="AI111" s="1139">
        <f>IF(1*ISERROR(VLOOKUP(R111,K56:Q65,7,FALSE)-10)=1,0,VLOOKUP(R111,K56:Q65,7,FALSE)-10)</f>
        <v>0</v>
      </c>
      <c r="AJ111" s="1139">
        <f>IF(1*ISERROR(VLOOKUP(R111,M56:Q65,5,FALSE)-10)=1,0,VLOOKUP(R111,M56:Q65,5,FALSE)-10)</f>
        <v>0</v>
      </c>
      <c r="AK111" s="1139">
        <f t="shared" si="17"/>
        <v>0</v>
      </c>
      <c r="AL111" s="1139">
        <f t="shared" si="15"/>
        <v>0</v>
      </c>
      <c r="AM111" s="1139">
        <f>IF(AL111=0,35,_xlfn.RANK.EQ(AL111,AL98:AL132))</f>
        <v>35</v>
      </c>
      <c r="AN111" s="1139">
        <f>IF(AM111=35,35,AM111+COUNTIF(AM$98:AM110,AM111)/COUNTIF(AM$98:AM$132,AM111))</f>
        <v>35</v>
      </c>
      <c r="AO111" s="1139">
        <f t="shared" si="9"/>
        <v>12</v>
      </c>
      <c r="AP111" s="1139" t="s">
        <v>383</v>
      </c>
      <c r="AQ111" s="1139">
        <f>IF(1*ISERROR(VLOOKUP(R111,C66:Q75,15,FALSE)-20)=1,0,VLOOKUP(R111,C66:Q75,15,FALSE)-20)</f>
        <v>0</v>
      </c>
      <c r="AR111" s="1139">
        <f>IF(1*ISERROR(VLOOKUP(R111,E66:Q75,13,FALSE)-20)=1,0,VLOOKUP(R111,E66:Q75,13,FALSE)-20)</f>
        <v>0</v>
      </c>
      <c r="AS111" s="1139">
        <f>IF(1*ISERROR(VLOOKUP(R111,G66:Q75,11,FALSE)-20)=1,0,VLOOKUP(R111,G66:Q75,11,FALSE)-20)</f>
        <v>0</v>
      </c>
      <c r="AT111" s="1139">
        <f>IF(1*ISERROR(VLOOKUP(R111,I66:Q75,9,FALSE)-20)=1,0,VLOOKUP(R111,I66:Q75,9,FALSE)-20)</f>
        <v>0</v>
      </c>
      <c r="AU111" s="1139">
        <f>IF(1*ISERROR(VLOOKUP(R111,K66:Q75,7,FALSE)-20)=1,0,VLOOKUP(R111,K66:Q75,7,FALSE)-20)</f>
        <v>0</v>
      </c>
      <c r="AV111" s="1139">
        <f>IF(1*ISERROR(VLOOKUP(R111,M66:Q75,5,FALSE)-20)=1,0,VLOOKUP(R111,M66:Q75,5,FALSE)-20)</f>
        <v>0</v>
      </c>
      <c r="AW111" s="1139">
        <f t="shared" si="16"/>
        <v>0</v>
      </c>
      <c r="AX111" s="1139">
        <f t="shared" si="10"/>
        <v>0</v>
      </c>
      <c r="AY111" s="1139">
        <f>IF(AX111=0,35,_xlfn.RANK.EQ(AX111,AX98:AX132))</f>
        <v>35</v>
      </c>
      <c r="AZ111" s="1139">
        <f>IF(AY111=35,35,AY111+COUNTIF(AY$98:AY110,AY111)/COUNTIF(AY$98:AY$132,AY111))</f>
        <v>35</v>
      </c>
      <c r="BA111" s="1139">
        <f t="shared" si="11"/>
        <v>13</v>
      </c>
      <c r="BB111" s="1139" t="s">
        <v>383</v>
      </c>
      <c r="BC111" s="1139">
        <f>IF(1*ISERROR(VLOOKUP(R111,C76:Q85,15,FALSE)-30)=1,0,VLOOKUP(R111,C76:Q85,15,FALSE)-30)</f>
        <v>0</v>
      </c>
      <c r="BD111" s="1139">
        <f>IF(1*ISERROR(VLOOKUP(R111,E76:Q85,13,FALSE)-30)=1,0,VLOOKUP(R111,E76:Q85,13,FALSE)-30)</f>
        <v>0</v>
      </c>
      <c r="BE111" s="1139">
        <f>IF(1*ISERROR(VLOOKUP(R111,G76:Q85,11,FALSE)-30)=1,0,VLOOKUP(R111,G76:Q85,11,FALSE)-30)</f>
        <v>0</v>
      </c>
      <c r="BF111" s="1139">
        <f>IF(1*ISERROR(VLOOKUP(R111,I76:Q85,9,FALSE)-30)=1,0,VLOOKUP(R111,I76:Q85,9,FALSE)-30)</f>
        <v>0</v>
      </c>
      <c r="BG111" s="1139">
        <f>IF(1*ISERROR(VLOOKUP(R111,K76:Q85,7,FALSE)-30)=1,0,VLOOKUP(R111,K76:Q85,7,FALSE)-30)</f>
        <v>0</v>
      </c>
      <c r="BH111" s="1139">
        <f>IF(1*ISERROR(VLOOKUP(R111,M76:Q85,5,FALSE)-30)=1,0,VLOOKUP(R111,M76:Q85,5,FALSE)-30)</f>
        <v>0</v>
      </c>
      <c r="BI111" s="1139">
        <f t="shared" si="23"/>
        <v>0</v>
      </c>
      <c r="BJ111" s="1139">
        <f t="shared" si="18"/>
        <v>0</v>
      </c>
      <c r="BK111" s="1139">
        <f t="shared" si="12"/>
        <v>35</v>
      </c>
      <c r="BL111" s="1139">
        <f>IF(BK111=35,35,BK111+COUNTIF(BK$98:BK110,BK111)/COUNTIF(BK$98:BK$132,BK111))</f>
        <v>35</v>
      </c>
      <c r="BM111" s="1139">
        <f t="shared" si="13"/>
        <v>13</v>
      </c>
      <c r="BN111" s="1139" t="s">
        <v>383</v>
      </c>
      <c r="BO111" s="1139">
        <f>IF(1*ISERROR(VLOOKUP(R111,C86:Q95,15,FALSE)-40)=1,0,VLOOKUP(R111,C86:Q95,15,FALSE)-40)</f>
        <v>0</v>
      </c>
      <c r="BP111" s="1139">
        <f>IF(1*ISERROR(VLOOKUP(R111,E86:Q95,13,FALSE)-40)=1,0,VLOOKUP(R111,E86:Q95,13,FALSE)-40)</f>
        <v>0</v>
      </c>
      <c r="BQ111" s="1139">
        <f>IF(1*ISERROR(VLOOKUP(R111,G86:Q95,11,FALSE)-40)=1,0,VLOOKUP(R111,G86:Q95,11,FALSE)-40)</f>
        <v>0</v>
      </c>
      <c r="BR111" s="1139">
        <f>IF(1*ISERROR(VLOOKUP(R111,I86:Q95,9,FALSE)-40)=1,0,VLOOKUP(R111,I86:Q95,9,FALSE)-40)</f>
        <v>0</v>
      </c>
      <c r="BS111" s="1139">
        <f>IF(1*ISERROR(VLOOKUP(R111,K86:Q95,7,FALSE)-40)=1,0,VLOOKUP(R111,K86:Q95,7,FALSE)-40)</f>
        <v>0</v>
      </c>
      <c r="BT111" s="1139">
        <f>IF(1*ISERROR(VLOOKUP(R111,M86:Q95,5,FALSE)-40)=1,0,VLOOKUP(R111,M86:Q95,5,FALSE)-40)</f>
        <v>0</v>
      </c>
      <c r="BU111" s="1139">
        <f>IF(1*ISERROR(VLOOKUP(R111,M86:R95,5,FALSE)-40)=1,0,VLOOKUP(R111,M86:R95,5,FALSE)-40)</f>
        <v>0</v>
      </c>
      <c r="BV111" s="1139">
        <f t="shared" si="19"/>
        <v>0</v>
      </c>
      <c r="BW111" s="1139">
        <f>IF(BV111=0,35,_xlfn.RANK.EQ(BV111,BV98:BV132))</f>
        <v>35</v>
      </c>
      <c r="BX111" s="1139">
        <f>IF(BW111=35,35,BW111+COUNTIF(BW$98:BW110,BW111)/COUNTIF(BW$98:BW$132,BW111))</f>
        <v>35</v>
      </c>
      <c r="BY111" s="1139">
        <f t="shared" si="14"/>
        <v>11</v>
      </c>
      <c r="BZ111" s="1139" t="s">
        <v>383</v>
      </c>
      <c r="CA111" s="1098"/>
      <c r="CB111" s="1098"/>
      <c r="CC111" s="839"/>
    </row>
    <row r="112" spans="1:81" s="1086" customFormat="1">
      <c r="Q112" s="1138">
        <f t="shared" si="6"/>
        <v>15</v>
      </c>
      <c r="R112" s="1139" t="s">
        <v>386</v>
      </c>
      <c r="S112" s="1139">
        <f>IF(1*ISERROR(VLOOKUP(R112,C46:Q55,15,FALSE))=1,0,VLOOKUP(R112,C46:Q55,15,FALSE))</f>
        <v>0</v>
      </c>
      <c r="T112" s="1139">
        <f>IF(1*ISERROR(VLOOKUP(R112,E46:Q55,13,FALSE))=1,0,VLOOKUP(R112,E46:Q55,13,FALSE))</f>
        <v>0</v>
      </c>
      <c r="U112" s="1139">
        <f>IF(1*ISERROR(VLOOKUP(R112,G46:Q55,11,FALSE))=1,0,VLOOKUP(R112,G46:Q55,11,FALSE))</f>
        <v>0</v>
      </c>
      <c r="V112" s="1139">
        <f>IF(1*ISERROR(VLOOKUP(R112,I46:Q55,9,FALSE))=1,0,VLOOKUP(R112,I46:Q55,9,FALSE))</f>
        <v>0</v>
      </c>
      <c r="W112" s="1139">
        <f>IF(1*ISERROR(VLOOKUP(R112,K46:Q55,7,FALSE))=1,0,VLOOKUP(R112,K46:Q55,7,FALSE))</f>
        <v>0</v>
      </c>
      <c r="X112" s="1139">
        <f>IF(1*ISERROR(VLOOKUP(R112,M46:Q55,5,FALSE))=1,0,VLOOKUP(R112,M46:Q55,5,FALSE))</f>
        <v>0</v>
      </c>
      <c r="Y112" s="1139">
        <f t="shared" ref="Y112:Y123" si="24">IF(1*ISERROR(VLOOKUP(R112,M47:Q56,5,FALSE))=1,0,VLOOKUP(R112,M47:Q56,5,FALSE))</f>
        <v>0</v>
      </c>
      <c r="Z112" s="1139">
        <f t="shared" si="7"/>
        <v>0</v>
      </c>
      <c r="AA112" s="1139">
        <f>IF(Z112=0,35,_xlfn.RANK.EQ(Z112,Z98:Z132))</f>
        <v>35</v>
      </c>
      <c r="AB112" s="1139">
        <f>IF(AA112=35,35,AA112+COUNTIF(AA$98:AA111,AA112)/COUNTIF(AA$98:AA$132,AA112))</f>
        <v>35</v>
      </c>
      <c r="AC112" s="1139">
        <f t="shared" si="8"/>
        <v>13</v>
      </c>
      <c r="AD112" s="1139" t="s">
        <v>386</v>
      </c>
      <c r="AE112" s="1139">
        <f>IF(1*ISERROR(VLOOKUP(R112,C56:Q65,15,FALSE)-10)=1,0,VLOOKUP(R112,C56:Q65,15,FALSE)-10)</f>
        <v>0</v>
      </c>
      <c r="AF112" s="1139">
        <f>IF(1*ISERROR(VLOOKUP(R112,E56:Q65,13,FALSE)-10)=1,0,VLOOKUP(R112,E56:Q65,13,FALSE)-10)</f>
        <v>0</v>
      </c>
      <c r="AG112" s="1139">
        <f>IF(1*ISERROR(VLOOKUP(R112,G56:Q65,11,FALSE)-10)=1,0,VLOOKUP(R112,G56:Q65,11,FALSE)-10)</f>
        <v>0</v>
      </c>
      <c r="AH112" s="1139">
        <f>IF(1*ISERROR(VLOOKUP(R112,I56:Q65,9,FALSE)-10)=1,0,VLOOKUP(R112,I56:Q65,9,FALSE)-10)</f>
        <v>0</v>
      </c>
      <c r="AI112" s="1139">
        <f>IF(1*ISERROR(VLOOKUP(R112,K56:Q65,7,FALSE)-10)=1,0,VLOOKUP(R112,K56:Q65,7,FALSE)-10)</f>
        <v>0</v>
      </c>
      <c r="AJ112" s="1139">
        <f>IF(1*ISERROR(VLOOKUP(R112,M56:Q65,5,FALSE)-10)=1,0,VLOOKUP(R112,M56:Q65,5,FALSE)-10)</f>
        <v>0</v>
      </c>
      <c r="AK112" s="1139">
        <f t="shared" si="17"/>
        <v>0</v>
      </c>
      <c r="AL112" s="1139">
        <f t="shared" si="15"/>
        <v>0</v>
      </c>
      <c r="AM112" s="1139">
        <f>IF(AL112=0,35,_xlfn.RANK.EQ(AL112,AL98:AL132))</f>
        <v>35</v>
      </c>
      <c r="AN112" s="1139">
        <f>IF(AM112=35,35,AM112+COUNTIF(AM$98:AM111,AM112)/COUNTIF(AM$98:AM$132,AM112))</f>
        <v>35</v>
      </c>
      <c r="AO112" s="1139">
        <f t="shared" si="9"/>
        <v>12</v>
      </c>
      <c r="AP112" s="1139" t="s">
        <v>386</v>
      </c>
      <c r="AQ112" s="1139">
        <f>IF(1*ISERROR(VLOOKUP(R112,C66:Q75,15,FALSE)-20)=1,0,VLOOKUP(R112,C66:Q75,15,FALSE)-20)</f>
        <v>0</v>
      </c>
      <c r="AR112" s="1139">
        <f>IF(1*ISERROR(VLOOKUP(R112,E66:Q75,13,FALSE)-20)=1,0,VLOOKUP(R112,E66:Q75,13,FALSE)-20)</f>
        <v>0</v>
      </c>
      <c r="AS112" s="1139">
        <f>IF(1*ISERROR(VLOOKUP(R112,G66:Q75,11,FALSE)-20)=1,0,VLOOKUP(R112,G66:Q75,11,FALSE)-20)</f>
        <v>0</v>
      </c>
      <c r="AT112" s="1139">
        <f>IF(1*ISERROR(VLOOKUP(R112,I66:Q75,9,FALSE)-20)=1,0,VLOOKUP(R112,I66:Q75,9,FALSE)-20)</f>
        <v>0</v>
      </c>
      <c r="AU112" s="1139">
        <f>IF(1*ISERROR(VLOOKUP(R112,K66:Q75,7,FALSE)-20)=1,0,VLOOKUP(R112,K66:Q75,7,FALSE)-20)</f>
        <v>0</v>
      </c>
      <c r="AV112" s="1139">
        <f>IF(1*ISERROR(VLOOKUP(R112,M66:Q75,5,FALSE)-20)=1,0,VLOOKUP(R112,M66:Q75,5,FALSE)-20)</f>
        <v>0</v>
      </c>
      <c r="AW112" s="1139">
        <f t="shared" si="16"/>
        <v>0</v>
      </c>
      <c r="AX112" s="1139">
        <f t="shared" si="10"/>
        <v>0</v>
      </c>
      <c r="AY112" s="1139">
        <f>IF(AX112=0,35,_xlfn.RANK.EQ(AX112,AX98:AX132))</f>
        <v>35</v>
      </c>
      <c r="AZ112" s="1139">
        <f>IF(AY112=35,35,AY112+COUNTIF(AY$98:AY111,AY112)/COUNTIF(AY$98:AY$132,AY112))</f>
        <v>35</v>
      </c>
      <c r="BA112" s="1139">
        <f t="shared" si="11"/>
        <v>13</v>
      </c>
      <c r="BB112" s="1139" t="s">
        <v>386</v>
      </c>
      <c r="BC112" s="1139">
        <f>IF(1*ISERROR(VLOOKUP(R112,C76:Q85,15,FALSE)-30)=1,0,VLOOKUP(R112,C76:Q85,15,FALSE)-30)</f>
        <v>0</v>
      </c>
      <c r="BD112" s="1139">
        <f>IF(1*ISERROR(VLOOKUP(R112,E76:Q85,13,FALSE)-30)=1,0,VLOOKUP(R112,E76:Q85,13,FALSE)-30)</f>
        <v>0</v>
      </c>
      <c r="BE112" s="1139">
        <f>IF(1*ISERROR(VLOOKUP(R112,G76:Q85,11,FALSE)-30)=1,0,VLOOKUP(R112,G76:Q85,11,FALSE)-30)</f>
        <v>0</v>
      </c>
      <c r="BF112" s="1139">
        <f>IF(1*ISERROR(VLOOKUP(R112,I76:Q85,9,FALSE)-30)=1,0,VLOOKUP(R112,I76:Q85,9,FALSE)-30)</f>
        <v>0</v>
      </c>
      <c r="BG112" s="1139">
        <f>IF(1*ISERROR(VLOOKUP(R112,K76:Q85,7,FALSE)-30)=1,0,VLOOKUP(R112,K76:Q85,7,FALSE)-30)</f>
        <v>0</v>
      </c>
      <c r="BH112" s="1139">
        <f>IF(1*ISERROR(VLOOKUP(R112,M76:Q85,5,FALSE)-30)=1,0,VLOOKUP(R112,M76:Q85,5,FALSE)-30)</f>
        <v>0</v>
      </c>
      <c r="BI112" s="1139">
        <f t="shared" si="23"/>
        <v>0</v>
      </c>
      <c r="BJ112" s="1139">
        <f t="shared" si="18"/>
        <v>0</v>
      </c>
      <c r="BK112" s="1139">
        <f t="shared" si="12"/>
        <v>35</v>
      </c>
      <c r="BL112" s="1139">
        <f>IF(BK112=35,35,BK112+COUNTIF(BK$98:BK111,BK112)/COUNTIF(BK$98:BK$132,BK112))</f>
        <v>35</v>
      </c>
      <c r="BM112" s="1139">
        <f t="shared" si="13"/>
        <v>13</v>
      </c>
      <c r="BN112" s="1139" t="s">
        <v>386</v>
      </c>
      <c r="BO112" s="1139">
        <f>IF(1*ISERROR(VLOOKUP(R112,C86:Q95,15,FALSE)-40)=1,0,VLOOKUP(R112,C86:Q95,15,FALSE)-40)</f>
        <v>0</v>
      </c>
      <c r="BP112" s="1139">
        <f>IF(1*ISERROR(VLOOKUP(R112,E86:Q95,13,FALSE)-40)=1,0,VLOOKUP(R112,E86:Q95,13,FALSE)-40)</f>
        <v>0</v>
      </c>
      <c r="BQ112" s="1139">
        <f>IF(1*ISERROR(VLOOKUP(R112,G86:Q95,11,FALSE)-40)=1,0,VLOOKUP(R112,G86:Q95,11,FALSE)-40)</f>
        <v>0</v>
      </c>
      <c r="BR112" s="1139">
        <f>IF(1*ISERROR(VLOOKUP(R112,I86:Q95,9,FALSE)-40)=1,0,VLOOKUP(R112,I86:Q95,9,FALSE)-40)</f>
        <v>0</v>
      </c>
      <c r="BS112" s="1139">
        <f>IF(1*ISERROR(VLOOKUP(R112,K86:Q95,7,FALSE)-40)=1,0,VLOOKUP(R112,K86:Q95,7,FALSE)-40)</f>
        <v>0</v>
      </c>
      <c r="BT112" s="1139">
        <f>IF(1*ISERROR(VLOOKUP(R112,M86:Q95,5,FALSE)-40)=1,0,VLOOKUP(R112,M86:Q95,5,FALSE)-40)</f>
        <v>0</v>
      </c>
      <c r="BU112" s="1139">
        <f t="shared" ref="BU112:BU120" si="25">IF(1*ISERROR(VLOOKUP(R112,M88:R97,5,FALSE)-40)=1,0,VLOOKUP(R112,M88:R97,5,FALSE)-40)</f>
        <v>0</v>
      </c>
      <c r="BV112" s="1139">
        <f t="shared" si="19"/>
        <v>0</v>
      </c>
      <c r="BW112" s="1139">
        <f>IF(BV112=0,35,_xlfn.RANK.EQ(BV112,BV98:BV132))</f>
        <v>35</v>
      </c>
      <c r="BX112" s="1139">
        <f>IF(BW112=35,35,BW112+COUNTIF(BW$98:BW111,BW112)/COUNTIF(BW$98:BW$132,BW112))</f>
        <v>35</v>
      </c>
      <c r="BY112" s="1139">
        <f t="shared" si="14"/>
        <v>11</v>
      </c>
      <c r="BZ112" s="1139" t="s">
        <v>386</v>
      </c>
      <c r="CA112" s="1098"/>
      <c r="CB112" s="1098"/>
      <c r="CC112" s="839"/>
    </row>
    <row r="113" spans="17:81" s="1086" customFormat="1">
      <c r="Q113" s="1138">
        <f t="shared" si="6"/>
        <v>16</v>
      </c>
      <c r="R113" s="1139" t="s">
        <v>385</v>
      </c>
      <c r="S113" s="1139">
        <f>IF(1*ISERROR(VLOOKUP(R113,C46:Q55,15,FALSE))=1,0,VLOOKUP(R113,C46:Q55,15,FALSE))</f>
        <v>0</v>
      </c>
      <c r="T113" s="1139">
        <f>IF(1*ISERROR(VLOOKUP(R113,E46:Q55,13,FALSE))=1,0,VLOOKUP(R113,E46:Q55,13,FALSE))</f>
        <v>0</v>
      </c>
      <c r="U113" s="1139">
        <f>IF(1*ISERROR(VLOOKUP(R113,G46:Q55,11,FALSE))=1,0,VLOOKUP(R113,G46:Q55,11,FALSE))</f>
        <v>0</v>
      </c>
      <c r="V113" s="1139">
        <f>IF(1*ISERROR(VLOOKUP(R113,I46:Q55,9,FALSE))=1,0,VLOOKUP(R113,I46:Q55,9,FALSE))</f>
        <v>0</v>
      </c>
      <c r="W113" s="1139">
        <f>IF(1*ISERROR(VLOOKUP(R113,K46:Q55,7,FALSE))=1,0,VLOOKUP(R113,K46:Q55,7,FALSE))</f>
        <v>0</v>
      </c>
      <c r="X113" s="1139">
        <f>IF(1*ISERROR(VLOOKUP(R113,M46:Q55,5,FALSE))=1,0,VLOOKUP(R113,M46:Q55,5,FALSE))</f>
        <v>0</v>
      </c>
      <c r="Y113" s="1139">
        <f t="shared" si="24"/>
        <v>0</v>
      </c>
      <c r="Z113" s="1139">
        <f t="shared" si="7"/>
        <v>0</v>
      </c>
      <c r="AA113" s="1139">
        <f>IF(Z113=0,35,_xlfn.RANK.EQ(Z113,Z98:Z132))</f>
        <v>35</v>
      </c>
      <c r="AB113" s="1139">
        <f>IF(AA113=35,35,AA113+COUNTIF(AA$98:AA112,AA113)/COUNTIF(AA$98:AA$132,AA113))</f>
        <v>35</v>
      </c>
      <c r="AC113" s="1139">
        <f t="shared" si="8"/>
        <v>13</v>
      </c>
      <c r="AD113" s="1139" t="s">
        <v>385</v>
      </c>
      <c r="AE113" s="1139">
        <f>IF(1*ISERROR(VLOOKUP(R113,C56:Q65,15,FALSE)-10)=1,0,VLOOKUP(R113,C56:Q65,15,FALSE)-10)</f>
        <v>0</v>
      </c>
      <c r="AF113" s="1139">
        <f>IF(1*ISERROR(VLOOKUP(R113,E56:Q65,13,FALSE)-10)=1,0,VLOOKUP(R113,E56:Q65,13,FALSE)-10)</f>
        <v>0</v>
      </c>
      <c r="AG113" s="1139">
        <f>IF(1*ISERROR(VLOOKUP(R113,G56:Q65,11,FALSE)-10)=1,0,VLOOKUP(R113,G56:Q65,11,FALSE)-10)</f>
        <v>0</v>
      </c>
      <c r="AH113" s="1139">
        <f>IF(1*ISERROR(VLOOKUP(R113,I56:Q65,9,FALSE)-10)=1,0,VLOOKUP(R113,I56:Q65,9,FALSE)-10)</f>
        <v>0</v>
      </c>
      <c r="AI113" s="1139">
        <f>IF(1*ISERROR(VLOOKUP(R113,K56:Q65,7,FALSE)-10)=1,0,VLOOKUP(R113,K56:Q65,7,FALSE)-10)</f>
        <v>0</v>
      </c>
      <c r="AJ113" s="1139">
        <f>IF(1*ISERROR(VLOOKUP(R113,M56:Q65,5,FALSE)-10)=1,0,VLOOKUP(R113,M56:Q65,5,FALSE)-10)</f>
        <v>0</v>
      </c>
      <c r="AK113" s="1139">
        <f t="shared" si="17"/>
        <v>0</v>
      </c>
      <c r="AL113" s="1139">
        <f t="shared" si="15"/>
        <v>0</v>
      </c>
      <c r="AM113" s="1139">
        <f>IF(AL113=0,35,_xlfn.RANK.EQ(AL113,AL98:AL132))</f>
        <v>35</v>
      </c>
      <c r="AN113" s="1139">
        <f>IF(AM113=35,35,AM113+COUNTIF(AM$98:AM112,AM113)/COUNTIF(AM$98:AM$132,AM113))</f>
        <v>35</v>
      </c>
      <c r="AO113" s="1139">
        <f t="shared" si="9"/>
        <v>12</v>
      </c>
      <c r="AP113" s="1139" t="s">
        <v>385</v>
      </c>
      <c r="AQ113" s="1139">
        <f>IF(1*ISERROR(VLOOKUP(R113,C66:Q75,15,FALSE)-20)=1,0,VLOOKUP(R113,C66:Q75,15,FALSE)-20)</f>
        <v>0</v>
      </c>
      <c r="AR113" s="1139">
        <f>IF(1*ISERROR(VLOOKUP(R113,E66:Q75,13,FALSE)-20)=1,0,VLOOKUP(R113,E66:Q75,13,FALSE)-20)</f>
        <v>0</v>
      </c>
      <c r="AS113" s="1139">
        <f>IF(1*ISERROR(VLOOKUP(R113,G66:Q75,11,FALSE)-20)=1,0,VLOOKUP(R113,G66:Q75,11,FALSE)-20)</f>
        <v>0</v>
      </c>
      <c r="AT113" s="1139">
        <f>IF(1*ISERROR(VLOOKUP(R113,I66:Q75,9,FALSE)-20)=1,0,VLOOKUP(R113,I66:Q75,9,FALSE)-20)</f>
        <v>0</v>
      </c>
      <c r="AU113" s="1139">
        <f>IF(1*ISERROR(VLOOKUP(R113,K66:Q75,7,FALSE)-20)=1,0,VLOOKUP(R113,K66:Q75,7,FALSE)-20)</f>
        <v>0</v>
      </c>
      <c r="AV113" s="1139">
        <f>IF(1*ISERROR(VLOOKUP(R113,M66:Q75,5,FALSE)-20)=1,0,VLOOKUP(R113,M66:Q75,5,FALSE)-20)</f>
        <v>0</v>
      </c>
      <c r="AW113" s="1139">
        <f t="shared" si="16"/>
        <v>0</v>
      </c>
      <c r="AX113" s="1139">
        <f t="shared" si="10"/>
        <v>0</v>
      </c>
      <c r="AY113" s="1139">
        <f>IF(AX113=0,35,_xlfn.RANK.EQ(AX113,AX98:AX132))</f>
        <v>35</v>
      </c>
      <c r="AZ113" s="1139">
        <f>IF(AY113=35,35,AY113+COUNTIF(AY$98:AY112,AY113)/COUNTIF(AY$98:AY$132,AY113))</f>
        <v>35</v>
      </c>
      <c r="BA113" s="1139">
        <f t="shared" si="11"/>
        <v>13</v>
      </c>
      <c r="BB113" s="1139" t="s">
        <v>385</v>
      </c>
      <c r="BC113" s="1139">
        <f>IF(1*ISERROR(VLOOKUP(R113,C76:Q85,15,FALSE)-30)=1,0,VLOOKUP(R113,C76:Q85,15,FALSE)-30)</f>
        <v>0</v>
      </c>
      <c r="BD113" s="1139">
        <f>IF(1*ISERROR(VLOOKUP(R113,E76:Q85,13,FALSE)-30)=1,0,VLOOKUP(R113,E76:Q85,13,FALSE)-30)</f>
        <v>0</v>
      </c>
      <c r="BE113" s="1139">
        <f>IF(1*ISERROR(VLOOKUP(R113,G76:Q85,11,FALSE)-30)=1,0,VLOOKUP(R113,G76:Q85,11,FALSE)-30)</f>
        <v>0</v>
      </c>
      <c r="BF113" s="1139">
        <f>IF(1*ISERROR(VLOOKUP(R113,I76:Q85,9,FALSE)-30)=1,0,VLOOKUP(R113,I76:Q85,9,FALSE)-30)</f>
        <v>0</v>
      </c>
      <c r="BG113" s="1139">
        <f>IF(1*ISERROR(VLOOKUP(R113,K76:Q85,7,FALSE)-30)=1,0,VLOOKUP(R113,K76:Q85,7,FALSE)-30)</f>
        <v>0</v>
      </c>
      <c r="BH113" s="1139">
        <f>IF(1*ISERROR(VLOOKUP(R113,M76:Q85,5,FALSE)-30)=1,0,VLOOKUP(R113,M76:Q85,5,FALSE)-30)</f>
        <v>0</v>
      </c>
      <c r="BI113" s="1139">
        <f t="shared" si="23"/>
        <v>0</v>
      </c>
      <c r="BJ113" s="1139">
        <f t="shared" si="18"/>
        <v>0</v>
      </c>
      <c r="BK113" s="1139">
        <f t="shared" si="12"/>
        <v>35</v>
      </c>
      <c r="BL113" s="1139">
        <f>IF(BK113=35,35,BK113+COUNTIF(BK$98:BK112,BK113)/COUNTIF(BK$98:BK$132,BK113))</f>
        <v>35</v>
      </c>
      <c r="BM113" s="1139">
        <f t="shared" si="13"/>
        <v>13</v>
      </c>
      <c r="BN113" s="1139" t="s">
        <v>385</v>
      </c>
      <c r="BO113" s="1139">
        <f>IF(1*ISERROR(VLOOKUP(R113,C86:Q95,15,FALSE)-40)=1,0,VLOOKUP(R113,C86:Q95,15,FALSE)-40)</f>
        <v>0</v>
      </c>
      <c r="BP113" s="1139">
        <f>IF(1*ISERROR(VLOOKUP(R113,E86:Q95,13,FALSE)-40)=1,0,VLOOKUP(R113,E86:Q95,13,FALSE)-40)</f>
        <v>0</v>
      </c>
      <c r="BQ113" s="1139">
        <f>IF(1*ISERROR(VLOOKUP(R113,G86:Q95,11,FALSE)-40)=1,0,VLOOKUP(R113,G86:Q95,11,FALSE)-40)</f>
        <v>0</v>
      </c>
      <c r="BR113" s="1139">
        <f>IF(1*ISERROR(VLOOKUP(R113,I86:Q95,9,FALSE)-40)=1,0,VLOOKUP(R113,I86:Q95,9,FALSE)-40)</f>
        <v>0</v>
      </c>
      <c r="BS113" s="1139">
        <f>IF(1*ISERROR(VLOOKUP(R113,K86:Q95,7,FALSE)-40)=1,0,VLOOKUP(R113,K86:Q95,7,FALSE)-40)</f>
        <v>0</v>
      </c>
      <c r="BT113" s="1139">
        <f>IF(1*ISERROR(VLOOKUP(R113,M86:Q95,5,FALSE)-40)=1,0,VLOOKUP(R113,M86:Q95,5,FALSE)-40)</f>
        <v>0</v>
      </c>
      <c r="BU113" s="1139">
        <f t="shared" si="25"/>
        <v>0</v>
      </c>
      <c r="BV113" s="1139">
        <f t="shared" si="19"/>
        <v>0</v>
      </c>
      <c r="BW113" s="1139">
        <f>IF(BV113=0,35,_xlfn.RANK.EQ(BV113,BV98:BV132))</f>
        <v>35</v>
      </c>
      <c r="BX113" s="1139">
        <f>IF(BW113=35,35,BW113+COUNTIF(BW$98:BW112,BW113)/COUNTIF(BW$98:BW$132,BW113))</f>
        <v>35</v>
      </c>
      <c r="BY113" s="1139">
        <f t="shared" si="14"/>
        <v>11</v>
      </c>
      <c r="BZ113" s="1139" t="s">
        <v>385</v>
      </c>
      <c r="CA113" s="1098"/>
      <c r="CB113" s="1098"/>
      <c r="CC113" s="839"/>
    </row>
    <row r="114" spans="17:81" s="1086" customFormat="1">
      <c r="Q114" s="1138">
        <f t="shared" si="6"/>
        <v>17</v>
      </c>
      <c r="R114" s="1139" t="s">
        <v>410</v>
      </c>
      <c r="S114" s="1139">
        <f>IF(1*ISERROR(VLOOKUP(R114,C46:Q55,15,FALSE))=1,0,VLOOKUP(R114,C46:Q55,15,FALSE))</f>
        <v>0</v>
      </c>
      <c r="T114" s="1139">
        <f>IF(1*ISERROR(VLOOKUP(R114,E46:Q55,13,FALSE))=1,0,VLOOKUP(R114,E46:Q55,13,FALSE))</f>
        <v>0</v>
      </c>
      <c r="U114" s="1139">
        <f>IF(1*ISERROR(VLOOKUP(R114,G46:Q55,11,FALSE))=1,0,VLOOKUP(R114,G46:Q55,11,FALSE))</f>
        <v>0</v>
      </c>
      <c r="V114" s="1139">
        <f>IF(1*ISERROR(VLOOKUP(R114,I46:Q55,9,FALSE))=1,0,VLOOKUP(R114,I46:Q55,9,FALSE))</f>
        <v>0</v>
      </c>
      <c r="W114" s="1139">
        <f>IF(1*ISERROR(VLOOKUP(R114,K46:Q55,7,FALSE))=1,0,VLOOKUP(R114,K46:Q55,7,FALSE))</f>
        <v>0</v>
      </c>
      <c r="X114" s="1139">
        <f>IF(1*ISERROR(VLOOKUP(R114,M46:Q55,5,FALSE))=1,0,VLOOKUP(R114,M46:Q55,5,FALSE))</f>
        <v>0</v>
      </c>
      <c r="Y114" s="1139">
        <f t="shared" si="24"/>
        <v>0</v>
      </c>
      <c r="Z114" s="1139">
        <f t="shared" si="7"/>
        <v>0</v>
      </c>
      <c r="AA114" s="1139">
        <f>IF(Z114=0,35,_xlfn.RANK.EQ(Z114,Z98:Z132))</f>
        <v>35</v>
      </c>
      <c r="AB114" s="1139">
        <f>IF(AA114=35,35,AA114+COUNTIF(AA$98:AA113,AA114)/COUNTIF(AA$98:AA$132,AA114))</f>
        <v>35</v>
      </c>
      <c r="AC114" s="1139">
        <f t="shared" si="8"/>
        <v>13</v>
      </c>
      <c r="AD114" s="1139" t="s">
        <v>410</v>
      </c>
      <c r="AE114" s="1139">
        <f>IF(1*ISERROR(VLOOKUP(R114,C56:Q65,15,FALSE)-10)=1,0,VLOOKUP(R114,C56:Q65,15,FALSE)-10)</f>
        <v>0</v>
      </c>
      <c r="AF114" s="1139">
        <f>IF(1*ISERROR(VLOOKUP(R114,E56:Q65,13,FALSE)-10)=1,0,VLOOKUP(R114,E56:Q65,13,FALSE)-10)</f>
        <v>0</v>
      </c>
      <c r="AG114" s="1139">
        <f>IF(1*ISERROR(VLOOKUP(R114,G56:Q65,11,FALSE)-10)=1,0,VLOOKUP(R114,G56:Q65,11,FALSE)-10)</f>
        <v>0</v>
      </c>
      <c r="AH114" s="1139">
        <f>IF(1*ISERROR(VLOOKUP(R114,I56:Q65,9,FALSE)-10)=1,0,VLOOKUP(R114,I56:Q65,9,FALSE)-10)</f>
        <v>0</v>
      </c>
      <c r="AI114" s="1139">
        <f>IF(1*ISERROR(VLOOKUP(R114,K56:Q65,7,FALSE)-10)=1,0,VLOOKUP(R114,K56:Q65,7,FALSE)-10)</f>
        <v>0</v>
      </c>
      <c r="AJ114" s="1139">
        <f>IF(1*ISERROR(VLOOKUP(R114,M56:Q65,5,FALSE)-10)=1,0,VLOOKUP(R114,M56:Q65,5,FALSE)-10)</f>
        <v>0</v>
      </c>
      <c r="AK114" s="1139">
        <f t="shared" si="17"/>
        <v>0</v>
      </c>
      <c r="AL114" s="1139">
        <f t="shared" si="15"/>
        <v>0</v>
      </c>
      <c r="AM114" s="1139">
        <f>IF(AL114=0,35,_xlfn.RANK.EQ(AL114,AL98:AL132))</f>
        <v>35</v>
      </c>
      <c r="AN114" s="1139">
        <f>IF(AM114=35,35,AM114+COUNTIF(AM$98:AM113,AM114)/COUNTIF(AM$98:AM$132,AM114))</f>
        <v>35</v>
      </c>
      <c r="AO114" s="1139">
        <f t="shared" si="9"/>
        <v>12</v>
      </c>
      <c r="AP114" s="1139" t="s">
        <v>410</v>
      </c>
      <c r="AQ114" s="1139">
        <f>IF(1*ISERROR(VLOOKUP(R114,C66:Q75,15,FALSE)-20)=1,0,VLOOKUP(R114,C66:Q75,15,FALSE)-20)</f>
        <v>0</v>
      </c>
      <c r="AR114" s="1139">
        <f>IF(1*ISERROR(VLOOKUP(R114,E66:Q75,13,FALSE)-20)=1,0,VLOOKUP(R114,E66:Q75,13,FALSE)-20)</f>
        <v>0</v>
      </c>
      <c r="AS114" s="1139">
        <f>IF(1*ISERROR(VLOOKUP(R114,G66:Q75,11,FALSE)-20)=1,0,VLOOKUP(R114,G66:Q75,11,FALSE)-20)</f>
        <v>0</v>
      </c>
      <c r="AT114" s="1139">
        <f>IF(1*ISERROR(VLOOKUP(R114,I66:Q75,9,FALSE)-20)=1,0,VLOOKUP(R114,I66:Q75,9,FALSE)-20)</f>
        <v>0</v>
      </c>
      <c r="AU114" s="1139">
        <f>IF(1*ISERROR(VLOOKUP(R114,K66:Q75,7,FALSE)-20)=1,0,VLOOKUP(R114,K66:Q75,7,FALSE)-20)</f>
        <v>0</v>
      </c>
      <c r="AV114" s="1139">
        <f>IF(1*ISERROR(VLOOKUP(R114,M66:Q75,5,FALSE)-20)=1,0,VLOOKUP(R114,M66:Q75,5,FALSE)-20)</f>
        <v>0</v>
      </c>
      <c r="AW114" s="1139">
        <f t="shared" si="16"/>
        <v>0</v>
      </c>
      <c r="AX114" s="1139">
        <f t="shared" si="10"/>
        <v>0</v>
      </c>
      <c r="AY114" s="1139">
        <f>IF(AX114=0,35,_xlfn.RANK.EQ(AX114,AX98:AX132))</f>
        <v>35</v>
      </c>
      <c r="AZ114" s="1139">
        <f>IF(AY114=35,35,AY114+COUNTIF(AY$98:AY113,AY114)/COUNTIF(AY$98:AY$132,AY114))</f>
        <v>35</v>
      </c>
      <c r="BA114" s="1139">
        <f t="shared" si="11"/>
        <v>13</v>
      </c>
      <c r="BB114" s="1139" t="s">
        <v>410</v>
      </c>
      <c r="BC114" s="1139">
        <f>IF(1*ISERROR(VLOOKUP(R114,C76:Q85,15,FALSE)-30)=1,0,VLOOKUP(R114,C76:Q85,15,FALSE)-30)</f>
        <v>0</v>
      </c>
      <c r="BD114" s="1139">
        <f>IF(1*ISERROR(VLOOKUP(R114,E76:Q85,13,FALSE)-30)=1,0,VLOOKUP(R114,E76:Q85,13,FALSE)-30)</f>
        <v>0</v>
      </c>
      <c r="BE114" s="1139">
        <f>IF(1*ISERROR(VLOOKUP(R114,G76:Q85,11,FALSE)-30)=1,0,VLOOKUP(R114,G76:Q85,11,FALSE)-30)</f>
        <v>0</v>
      </c>
      <c r="BF114" s="1139">
        <f>IF(1*ISERROR(VLOOKUP(R114,I76:Q85,9,FALSE)-30)=1,0,VLOOKUP(R114,I76:Q85,9,FALSE)-30)</f>
        <v>0</v>
      </c>
      <c r="BG114" s="1139">
        <f>IF(1*ISERROR(VLOOKUP(R114,K76:Q85,7,FALSE)-30)=1,0,VLOOKUP(R114,K76:Q85,7,FALSE)-30)</f>
        <v>0</v>
      </c>
      <c r="BH114" s="1139">
        <f>IF(1*ISERROR(VLOOKUP(R114,M76:Q85,5,FALSE)-30)=1,0,VLOOKUP(R114,M76:Q85,5,FALSE)-30)</f>
        <v>0</v>
      </c>
      <c r="BI114" s="1139">
        <f t="shared" si="23"/>
        <v>0</v>
      </c>
      <c r="BJ114" s="1139">
        <f t="shared" si="18"/>
        <v>0</v>
      </c>
      <c r="BK114" s="1139">
        <f t="shared" si="12"/>
        <v>35</v>
      </c>
      <c r="BL114" s="1139">
        <f>IF(BK114=35,35,BK114+COUNTIF(BK$98:BK113,BK114)/COUNTIF(BK$98:BK$132,BK114))</f>
        <v>35</v>
      </c>
      <c r="BM114" s="1139">
        <f t="shared" si="13"/>
        <v>13</v>
      </c>
      <c r="BN114" s="1139" t="s">
        <v>410</v>
      </c>
      <c r="BO114" s="1139">
        <f>IF(1*ISERROR(VLOOKUP(R114,C86:Q95,15,FALSE)-40)=1,0,VLOOKUP(R114,C86:Q95,15,FALSE)-40)</f>
        <v>0</v>
      </c>
      <c r="BP114" s="1139">
        <f>IF(1*ISERROR(VLOOKUP(R114,E86:Q95,13,FALSE)-40)=1,0,VLOOKUP(R114,E86:Q95,13,FALSE)-40)</f>
        <v>0</v>
      </c>
      <c r="BQ114" s="1139">
        <f>IF(1*ISERROR(VLOOKUP(R114,G86:Q95,11,FALSE)-40)=1,0,VLOOKUP(R114,G86:Q95,11,FALSE)-40)</f>
        <v>0</v>
      </c>
      <c r="BR114" s="1139">
        <f>IF(1*ISERROR(VLOOKUP(R114,I86:Q95,9,FALSE)-40)=1,0,VLOOKUP(R114,I86:Q95,9,FALSE)-40)</f>
        <v>0</v>
      </c>
      <c r="BS114" s="1139">
        <f>IF(1*ISERROR(VLOOKUP(R114,K86:Q95,7,FALSE)-40)=1,0,VLOOKUP(R114,K86:Q95,7,FALSE)-40)</f>
        <v>0</v>
      </c>
      <c r="BT114" s="1139">
        <f>IF(1*ISERROR(VLOOKUP(R114,M86:Q95,5,FALSE)-40)=1,0,VLOOKUP(R114,M86:Q95,5,FALSE)-40)</f>
        <v>0</v>
      </c>
      <c r="BU114" s="1139">
        <f t="shared" si="25"/>
        <v>0</v>
      </c>
      <c r="BV114" s="1139">
        <f t="shared" si="19"/>
        <v>0</v>
      </c>
      <c r="BW114" s="1139">
        <f>IF(BV114=0,35,_xlfn.RANK.EQ(BV114,BV98:BV132))</f>
        <v>35</v>
      </c>
      <c r="BX114" s="1139">
        <f>IF(BW114=35,35,BW114+COUNTIF(BW$98:BW113,BW114)/COUNTIF(BW$98:BW$132,BW114))</f>
        <v>35</v>
      </c>
      <c r="BY114" s="1139">
        <f t="shared" si="14"/>
        <v>11</v>
      </c>
      <c r="BZ114" s="1139" t="s">
        <v>410</v>
      </c>
      <c r="CA114" s="1098"/>
      <c r="CB114" s="1098"/>
      <c r="CC114" s="839"/>
    </row>
    <row r="115" spans="17:81" s="1086" customFormat="1">
      <c r="Q115" s="1138">
        <f t="shared" si="6"/>
        <v>18</v>
      </c>
      <c r="R115" s="1139" t="s">
        <v>396</v>
      </c>
      <c r="S115" s="1139">
        <f>IF(1*ISERROR(VLOOKUP(R115,C46:Q55,15,FALSE))=1,0,VLOOKUP(R115,C46:Q55,15,FALSE))</f>
        <v>0</v>
      </c>
      <c r="T115" s="1139">
        <f>IF(1*ISERROR(VLOOKUP(R115,E46:Q55,13,FALSE))=1,0,VLOOKUP(R115,E46:Q55,13,FALSE))</f>
        <v>0</v>
      </c>
      <c r="U115" s="1139">
        <f>IF(1*ISERROR(VLOOKUP(R115,G46:Q55,11,FALSE))=1,0,VLOOKUP(R115,G46:Q55,11,FALSE))</f>
        <v>0</v>
      </c>
      <c r="V115" s="1139">
        <f>IF(1*ISERROR(VLOOKUP(R115,I46:Q55,9,FALSE))=1,0,VLOOKUP(R115,I46:Q55,9,FALSE))</f>
        <v>0</v>
      </c>
      <c r="W115" s="1139">
        <f>IF(1*ISERROR(VLOOKUP(R115,K46:Q55,7,FALSE))=1,0,VLOOKUP(R115,K46:Q55,7,FALSE))</f>
        <v>0</v>
      </c>
      <c r="X115" s="1139">
        <f>IF(1*ISERROR(VLOOKUP(R115,M46:Q55,5,FALSE))=1,0,VLOOKUP(R115,M46:Q55,5,FALSE))</f>
        <v>0</v>
      </c>
      <c r="Y115" s="1139">
        <f t="shared" si="24"/>
        <v>0</v>
      </c>
      <c r="Z115" s="1139">
        <f t="shared" si="7"/>
        <v>0</v>
      </c>
      <c r="AA115" s="1139">
        <f>IF(Z115=0,35,_xlfn.RANK.EQ(Z115,Z98:Z132))</f>
        <v>35</v>
      </c>
      <c r="AB115" s="1139">
        <f>IF(AA115=35,35,AA115+COUNTIF(AA$98:AA114,AA115)/COUNTIF(AA$98:AA$132,AA115))</f>
        <v>35</v>
      </c>
      <c r="AC115" s="1139">
        <f t="shared" si="8"/>
        <v>13</v>
      </c>
      <c r="AD115" s="1139" t="s">
        <v>396</v>
      </c>
      <c r="AE115" s="1139">
        <f>IF(1*ISERROR(VLOOKUP(R115,C56:Q65,15,FALSE)-10)=1,0,VLOOKUP(R115,C56:Q65,15,FALSE)-10)</f>
        <v>0</v>
      </c>
      <c r="AF115" s="1139">
        <f>IF(1*ISERROR(VLOOKUP(R115,E56:Q65,13,FALSE)-10)=1,0,VLOOKUP(R115,E56:Q65,13,FALSE)-10)</f>
        <v>0</v>
      </c>
      <c r="AG115" s="1139">
        <f>IF(1*ISERROR(VLOOKUP(R115,G56:Q65,11,FALSE)-10)=1,0,VLOOKUP(R115,G56:Q65,11,FALSE)-10)</f>
        <v>0</v>
      </c>
      <c r="AH115" s="1139">
        <f>IF(1*ISERROR(VLOOKUP(R115,I56:Q65,9,FALSE)-10)=1,0,VLOOKUP(R115,I56:Q65,9,FALSE)-10)</f>
        <v>0</v>
      </c>
      <c r="AI115" s="1139">
        <f>IF(1*ISERROR(VLOOKUP(R115,K56:Q65,7,FALSE)-10)=1,0,VLOOKUP(R115,K56:Q65,7,FALSE)-10)</f>
        <v>0</v>
      </c>
      <c r="AJ115" s="1139">
        <f>IF(1*ISERROR(VLOOKUP(R115,M56:Q65,5,FALSE)-10)=1,0,VLOOKUP(R115,M56:Q65,5,FALSE)-10)</f>
        <v>0</v>
      </c>
      <c r="AK115" s="1139">
        <f t="shared" si="17"/>
        <v>0</v>
      </c>
      <c r="AL115" s="1139">
        <f t="shared" si="15"/>
        <v>0</v>
      </c>
      <c r="AM115" s="1139">
        <f>IF(AL115=0,35,_xlfn.RANK.EQ(AL115,AL98:AL132))</f>
        <v>35</v>
      </c>
      <c r="AN115" s="1139">
        <f>IF(AM115=35,35,AM115+COUNTIF(AM$98:AM114,AM115)/COUNTIF(AM$98:AM$132,AM115))</f>
        <v>35</v>
      </c>
      <c r="AO115" s="1139">
        <f t="shared" si="9"/>
        <v>12</v>
      </c>
      <c r="AP115" s="1139" t="s">
        <v>396</v>
      </c>
      <c r="AQ115" s="1139">
        <f>IF(1*ISERROR(VLOOKUP(R115,C66:Q75,15,FALSE)-20)=1,0,VLOOKUP(R115,C66:Q75,15,FALSE)-20)</f>
        <v>0</v>
      </c>
      <c r="AR115" s="1139">
        <f>IF(1*ISERROR(VLOOKUP(R115,E66:Q75,13,FALSE)-20)=1,0,VLOOKUP(R115,E66:Q75,13,FALSE)-20)</f>
        <v>0</v>
      </c>
      <c r="AS115" s="1139">
        <f>IF(1*ISERROR(VLOOKUP(R115,G66:Q75,11,FALSE)-20)=1,0,VLOOKUP(R115,G66:Q75,11,FALSE)-20)</f>
        <v>0</v>
      </c>
      <c r="AT115" s="1139">
        <f>IF(1*ISERROR(VLOOKUP(R115,I66:Q75,9,FALSE)-20)=1,0,VLOOKUP(R115,I66:Q75,9,FALSE)-20)</f>
        <v>0</v>
      </c>
      <c r="AU115" s="1139">
        <f>IF(1*ISERROR(VLOOKUP(R115,K66:Q75,7,FALSE)-20)=1,0,VLOOKUP(R115,K66:Q75,7,FALSE)-20)</f>
        <v>0</v>
      </c>
      <c r="AV115" s="1139">
        <f>IF(1*ISERROR(VLOOKUP(R115,M66:Q75,5,FALSE)-20)=1,0,VLOOKUP(R115,M66:Q75,5,FALSE)-20)</f>
        <v>0</v>
      </c>
      <c r="AW115" s="1139">
        <f t="shared" si="16"/>
        <v>0</v>
      </c>
      <c r="AX115" s="1139">
        <f t="shared" si="10"/>
        <v>0</v>
      </c>
      <c r="AY115" s="1139">
        <f>IF(AX115=0,35,_xlfn.RANK.EQ(AX115,AX98:AX132))</f>
        <v>35</v>
      </c>
      <c r="AZ115" s="1139">
        <f>IF(AY115=35,35,AY115+COUNTIF(AY$98:AY114,AY115)/COUNTIF(AY$98:AY$132,AY115))</f>
        <v>35</v>
      </c>
      <c r="BA115" s="1139">
        <f t="shared" si="11"/>
        <v>13</v>
      </c>
      <c r="BB115" s="1139" t="s">
        <v>396</v>
      </c>
      <c r="BC115" s="1139">
        <f>IF(1*ISERROR(VLOOKUP(R115,C76:Q85,15,FALSE)-30)=1,0,VLOOKUP(R115,C76:Q85,15,FALSE)-30)</f>
        <v>0</v>
      </c>
      <c r="BD115" s="1139">
        <f>IF(1*ISERROR(VLOOKUP(R115,E76:Q85,13,FALSE)-30)=1,0,VLOOKUP(R115,E76:Q85,13,FALSE)-30)</f>
        <v>0</v>
      </c>
      <c r="BE115" s="1139">
        <f>IF(1*ISERROR(VLOOKUP(R115,G76:Q85,11,FALSE)-30)=1,0,VLOOKUP(R115,G76:Q85,11,FALSE)-30)</f>
        <v>0</v>
      </c>
      <c r="BF115" s="1139">
        <f>IF(1*ISERROR(VLOOKUP(R115,I76:Q85,9,FALSE)-30)=1,0,VLOOKUP(R115,I76:Q85,9,FALSE)-30)</f>
        <v>0</v>
      </c>
      <c r="BG115" s="1139">
        <f>IF(1*ISERROR(VLOOKUP(R115,K76:Q85,7,FALSE)-30)=1,0,VLOOKUP(R115,K76:Q85,7,FALSE)-30)</f>
        <v>0</v>
      </c>
      <c r="BH115" s="1139">
        <f>IF(1*ISERROR(VLOOKUP(R115,M76:Q85,5,FALSE)-30)=1,0,VLOOKUP(R115,M76:Q85,5,FALSE)-30)</f>
        <v>0</v>
      </c>
      <c r="BI115" s="1139">
        <f t="shared" si="23"/>
        <v>0</v>
      </c>
      <c r="BJ115" s="1139">
        <f t="shared" si="18"/>
        <v>0</v>
      </c>
      <c r="BK115" s="1139">
        <f t="shared" si="12"/>
        <v>35</v>
      </c>
      <c r="BL115" s="1139">
        <f>IF(BK115=35,35,BK115+COUNTIF(BK$98:BK114,BK115)/COUNTIF(BK$98:BK$132,BK115))</f>
        <v>35</v>
      </c>
      <c r="BM115" s="1139">
        <f t="shared" si="13"/>
        <v>13</v>
      </c>
      <c r="BN115" s="1139" t="s">
        <v>396</v>
      </c>
      <c r="BO115" s="1139">
        <f>IF(1*ISERROR(VLOOKUP(R115,C86:Q95,15,FALSE)-40)=1,0,VLOOKUP(R115,C86:Q95,15,FALSE)-40)</f>
        <v>0</v>
      </c>
      <c r="BP115" s="1139">
        <f>IF(1*ISERROR(VLOOKUP(R115,E86:Q95,13,FALSE)-40)=1,0,VLOOKUP(R115,E86:Q95,13,FALSE)-40)</f>
        <v>0</v>
      </c>
      <c r="BQ115" s="1139">
        <f>IF(1*ISERROR(VLOOKUP(R115,G86:Q95,11,FALSE)-40)=1,0,VLOOKUP(R115,G86:Q95,11,FALSE)-40)</f>
        <v>0</v>
      </c>
      <c r="BR115" s="1139">
        <f>IF(1*ISERROR(VLOOKUP(R115,I86:Q95,9,FALSE)-40)=1,0,VLOOKUP(R115,I86:Q95,9,FALSE)-40)</f>
        <v>0</v>
      </c>
      <c r="BS115" s="1139">
        <f>IF(1*ISERROR(VLOOKUP(R115,K86:Q95,7,FALSE)-40)=1,0,VLOOKUP(R115,K86:Q95,7,FALSE)-40)</f>
        <v>0</v>
      </c>
      <c r="BT115" s="1139">
        <f>IF(1*ISERROR(VLOOKUP(R115,M86:Q95,5,FALSE)-40)=1,0,VLOOKUP(R115,M86:Q95,5,FALSE)-40)</f>
        <v>0</v>
      </c>
      <c r="BU115" s="1139">
        <f t="shared" si="25"/>
        <v>0</v>
      </c>
      <c r="BV115" s="1139">
        <f t="shared" si="19"/>
        <v>0</v>
      </c>
      <c r="BW115" s="1139">
        <f>IF(BV115=0,35,_xlfn.RANK.EQ(BV115,BV98:BV132))</f>
        <v>35</v>
      </c>
      <c r="BX115" s="1139">
        <f>IF(BW115=35,35,BW115+COUNTIF(BW$98:BW114,BW115)/COUNTIF(BW$98:BW$132,BW115))</f>
        <v>35</v>
      </c>
      <c r="BY115" s="1139">
        <f t="shared" si="14"/>
        <v>11</v>
      </c>
      <c r="BZ115" s="1139" t="s">
        <v>396</v>
      </c>
      <c r="CA115" s="1098"/>
      <c r="CB115" s="1098"/>
      <c r="CC115" s="839"/>
    </row>
    <row r="116" spans="17:81" s="1086" customFormat="1">
      <c r="Q116" s="1138">
        <f t="shared" si="6"/>
        <v>19</v>
      </c>
      <c r="R116" s="1139" t="s">
        <v>400</v>
      </c>
      <c r="S116" s="1139">
        <f>IF(1*ISERROR(VLOOKUP(R116,C46:Q55,15,FALSE))=1,0,VLOOKUP(R116,C46:Q55,15,FALSE))</f>
        <v>0</v>
      </c>
      <c r="T116" s="1139">
        <f>IF(1*ISERROR(VLOOKUP(R116,E46:Q55,13,FALSE))=1,0,VLOOKUP(R116,E46:Q55,13,FALSE))</f>
        <v>0</v>
      </c>
      <c r="U116" s="1139">
        <f>IF(1*ISERROR(VLOOKUP(R116,G46:Q55,11,FALSE))=1,0,VLOOKUP(R116,G46:Q55,11,FALSE))</f>
        <v>0</v>
      </c>
      <c r="V116" s="1139">
        <f>IF(1*ISERROR(VLOOKUP(R116,I46:Q55,9,FALSE))=1,0,VLOOKUP(R116,I46:Q55,9,FALSE))</f>
        <v>0</v>
      </c>
      <c r="W116" s="1139">
        <f>IF(1*ISERROR(VLOOKUP(R116,K46:Q55,7,FALSE))=1,0,VLOOKUP(R116,K46:Q55,7,FALSE))</f>
        <v>0</v>
      </c>
      <c r="X116" s="1139">
        <f>IF(1*ISERROR(VLOOKUP(R116,M46:Q55,5,FALSE))=1,0,VLOOKUP(R116,M46:Q55,5,FALSE))</f>
        <v>0</v>
      </c>
      <c r="Y116" s="1139">
        <f t="shared" si="24"/>
        <v>0</v>
      </c>
      <c r="Z116" s="1139">
        <f t="shared" si="7"/>
        <v>0</v>
      </c>
      <c r="AA116" s="1139">
        <f>IF(Z116=0,35,_xlfn.RANK.EQ(Z116,Z98:Z132))</f>
        <v>35</v>
      </c>
      <c r="AB116" s="1139">
        <f>IF(AA116=35,35,AA116+COUNTIF(AA$98:AA115,AA116)/COUNTIF(AA$98:AA$132,AA116))</f>
        <v>35</v>
      </c>
      <c r="AC116" s="1139">
        <f t="shared" si="8"/>
        <v>13</v>
      </c>
      <c r="AD116" s="1139" t="s">
        <v>400</v>
      </c>
      <c r="AE116" s="1139">
        <f>IF(1*ISERROR(VLOOKUP(R116,C56:Q65,15,FALSE)-10)=1,0,VLOOKUP(R116,C56:Q65,15,FALSE)-10)</f>
        <v>0</v>
      </c>
      <c r="AF116" s="1139">
        <f>IF(1*ISERROR(VLOOKUP(R116,E56:Q65,13,FALSE)-10)=1,0,VLOOKUP(R116,E56:Q65,13,FALSE)-10)</f>
        <v>0</v>
      </c>
      <c r="AG116" s="1139">
        <f>IF(1*ISERROR(VLOOKUP(R116,G56:Q65,11,FALSE)-10)=1,0,VLOOKUP(R116,G56:Q65,11,FALSE)-10)</f>
        <v>0</v>
      </c>
      <c r="AH116" s="1139">
        <f>IF(1*ISERROR(VLOOKUP(R116,I56:Q65,9,FALSE)-10)=1,0,VLOOKUP(R116,I56:Q65,9,FALSE)-10)</f>
        <v>0</v>
      </c>
      <c r="AI116" s="1139">
        <f>IF(1*ISERROR(VLOOKUP(R116,K56:Q65,7,FALSE)-10)=1,0,VLOOKUP(R116,K56:Q65,7,FALSE)-10)</f>
        <v>0</v>
      </c>
      <c r="AJ116" s="1139">
        <f>IF(1*ISERROR(VLOOKUP(R116,M56:Q65,5,FALSE)-10)=1,0,VLOOKUP(R116,M56:Q65,5,FALSE)-10)</f>
        <v>0</v>
      </c>
      <c r="AK116" s="1139">
        <f t="shared" si="17"/>
        <v>0</v>
      </c>
      <c r="AL116" s="1139">
        <f t="shared" si="15"/>
        <v>0</v>
      </c>
      <c r="AM116" s="1139">
        <f>IF(AL116=0,35,_xlfn.RANK.EQ(AL116,AL98:AL132))</f>
        <v>35</v>
      </c>
      <c r="AN116" s="1139">
        <f>IF(AM116=35,35,AM116+COUNTIF(AM$98:AM115,AM116)/COUNTIF(AM$98:AM$132,AM116))</f>
        <v>35</v>
      </c>
      <c r="AO116" s="1139">
        <f t="shared" si="9"/>
        <v>12</v>
      </c>
      <c r="AP116" s="1139" t="s">
        <v>400</v>
      </c>
      <c r="AQ116" s="1139">
        <f>IF(1*ISERROR(VLOOKUP(R116,C66:Q75,15,FALSE)-20)=1,0,VLOOKUP(R116,C66:Q75,15,FALSE)-20)</f>
        <v>0</v>
      </c>
      <c r="AR116" s="1139">
        <f>IF(1*ISERROR(VLOOKUP(R116,E66:Q75,13,FALSE)-20)=1,0,VLOOKUP(R116,E66:Q75,13,FALSE)-20)</f>
        <v>0</v>
      </c>
      <c r="AS116" s="1139">
        <f>IF(1*ISERROR(VLOOKUP(R116,G66:Q75,11,FALSE)-20)=1,0,VLOOKUP(R116,G66:Q75,11,FALSE)-20)</f>
        <v>0</v>
      </c>
      <c r="AT116" s="1139">
        <f>IF(1*ISERROR(VLOOKUP(R116,I66:Q75,9,FALSE)-20)=1,0,VLOOKUP(R116,I66:Q75,9,FALSE)-20)</f>
        <v>0</v>
      </c>
      <c r="AU116" s="1139">
        <f>IF(1*ISERROR(VLOOKUP(R116,K66:Q75,7,FALSE)-20)=1,0,VLOOKUP(R116,K66:Q75,7,FALSE)-20)</f>
        <v>0</v>
      </c>
      <c r="AV116" s="1139">
        <f>IF(1*ISERROR(VLOOKUP(R116,M66:Q75,5,FALSE)-20)=1,0,VLOOKUP(R116,M66:Q75,5,FALSE)-20)</f>
        <v>0</v>
      </c>
      <c r="AW116" s="1139">
        <f t="shared" si="16"/>
        <v>0</v>
      </c>
      <c r="AX116" s="1139">
        <f t="shared" si="10"/>
        <v>0</v>
      </c>
      <c r="AY116" s="1139">
        <f>IF(AX116=0,35,_xlfn.RANK.EQ(AX116,AX98:AX132))</f>
        <v>35</v>
      </c>
      <c r="AZ116" s="1139">
        <f>IF(AY116=35,35,AY116+COUNTIF(AY$98:AY115,AY116)/COUNTIF(AY$98:AY$132,AY116))</f>
        <v>35</v>
      </c>
      <c r="BA116" s="1139">
        <f t="shared" si="11"/>
        <v>13</v>
      </c>
      <c r="BB116" s="1139" t="s">
        <v>400</v>
      </c>
      <c r="BC116" s="1139">
        <f>IF(1*ISERROR(VLOOKUP(R116,C76:Q85,15,FALSE)-30)=1,0,VLOOKUP(R116,C76:Q85,15,FALSE)-30)</f>
        <v>0</v>
      </c>
      <c r="BD116" s="1139">
        <f>IF(1*ISERROR(VLOOKUP(R116,E76:Q85,13,FALSE)-30)=1,0,VLOOKUP(R116,E76:Q85,13,FALSE)-30)</f>
        <v>0</v>
      </c>
      <c r="BE116" s="1139">
        <f>IF(1*ISERROR(VLOOKUP(R116,G76:Q85,11,FALSE)-30)=1,0,VLOOKUP(R116,G76:Q85,11,FALSE)-30)</f>
        <v>0</v>
      </c>
      <c r="BF116" s="1139">
        <f>IF(1*ISERROR(VLOOKUP(R116,I76:Q85,9,FALSE)-30)=1,0,VLOOKUP(R116,I76:Q85,9,FALSE)-30)</f>
        <v>0</v>
      </c>
      <c r="BG116" s="1139">
        <f>IF(1*ISERROR(VLOOKUP(R116,K76:Q85,7,FALSE)-30)=1,0,VLOOKUP(R116,K76:Q85,7,FALSE)-30)</f>
        <v>0</v>
      </c>
      <c r="BH116" s="1139">
        <f>IF(1*ISERROR(VLOOKUP(R116,M76:Q85,5,FALSE)-30)=1,0,VLOOKUP(R116,M76:Q85,5,FALSE)-30)</f>
        <v>0</v>
      </c>
      <c r="BI116" s="1139">
        <f t="shared" si="23"/>
        <v>0</v>
      </c>
      <c r="BJ116" s="1139">
        <f t="shared" si="18"/>
        <v>0</v>
      </c>
      <c r="BK116" s="1139">
        <f t="shared" si="12"/>
        <v>35</v>
      </c>
      <c r="BL116" s="1139">
        <f>IF(BK116=35,35,BK116+COUNTIF(BK$98:BK115,BK116)/COUNTIF(BK$98:BK$132,BK116))</f>
        <v>35</v>
      </c>
      <c r="BM116" s="1139">
        <f t="shared" si="13"/>
        <v>13</v>
      </c>
      <c r="BN116" s="1139" t="s">
        <v>400</v>
      </c>
      <c r="BO116" s="1139">
        <f>IF(1*ISERROR(VLOOKUP(R116,C86:Q95,15,FALSE)-40)=1,0,VLOOKUP(R116,C86:Q95,15,FALSE)-40)</f>
        <v>0</v>
      </c>
      <c r="BP116" s="1139">
        <f>IF(1*ISERROR(VLOOKUP(R116,E86:Q95,13,FALSE)-40)=1,0,VLOOKUP(R116,E86:Q95,13,FALSE)-40)</f>
        <v>0</v>
      </c>
      <c r="BQ116" s="1139">
        <f>IF(1*ISERROR(VLOOKUP(R116,G86:Q95,11,FALSE)-40)=1,0,VLOOKUP(R116,G86:Q95,11,FALSE)-40)</f>
        <v>0</v>
      </c>
      <c r="BR116" s="1139">
        <f>IF(1*ISERROR(VLOOKUP(R116,I86:Q95,9,FALSE)-40)=1,0,VLOOKUP(R116,I86:Q95,9,FALSE)-40)</f>
        <v>0</v>
      </c>
      <c r="BS116" s="1139">
        <f>IF(1*ISERROR(VLOOKUP(R116,K86:Q95,7,FALSE)-40)=1,0,VLOOKUP(R116,K86:Q95,7,FALSE)-40)</f>
        <v>0</v>
      </c>
      <c r="BT116" s="1139">
        <f>IF(1*ISERROR(VLOOKUP(R116,M86:Q95,5,FALSE)-40)=1,0,VLOOKUP(R116,M86:Q95,5,FALSE)-40)</f>
        <v>0</v>
      </c>
      <c r="BU116" s="1139">
        <f t="shared" si="25"/>
        <v>0</v>
      </c>
      <c r="BV116" s="1139">
        <f t="shared" si="19"/>
        <v>0</v>
      </c>
      <c r="BW116" s="1139">
        <f>IF(BV116=0,35,_xlfn.RANK.EQ(BV116,BV98:BV132))</f>
        <v>35</v>
      </c>
      <c r="BX116" s="1139">
        <f>IF(BW116=35,35,BW116+COUNTIF(BW$98:BW115,BW116)/COUNTIF(BW$98:BW$132,BW116))</f>
        <v>35</v>
      </c>
      <c r="BY116" s="1139">
        <f t="shared" si="14"/>
        <v>11</v>
      </c>
      <c r="BZ116" s="1139" t="s">
        <v>400</v>
      </c>
      <c r="CA116" s="1098"/>
      <c r="CB116" s="1098"/>
      <c r="CC116" s="839"/>
    </row>
    <row r="117" spans="17:81" s="1086" customFormat="1">
      <c r="Q117" s="1138">
        <f t="shared" si="6"/>
        <v>20</v>
      </c>
      <c r="R117" s="1139" t="s">
        <v>399</v>
      </c>
      <c r="S117" s="1139">
        <f>IF(1*ISERROR(VLOOKUP(R117,C46:Q55,15,FALSE))=1,0,VLOOKUP(R117,C46:Q55,15,FALSE))</f>
        <v>0</v>
      </c>
      <c r="T117" s="1139">
        <f>IF(1*ISERROR(VLOOKUP(R117,E46:Q55,13,FALSE))=1,0,VLOOKUP(R117,E46:Q55,13,FALSE))</f>
        <v>0</v>
      </c>
      <c r="U117" s="1139">
        <f>IF(1*ISERROR(VLOOKUP(R117,G46:Q55,11,FALSE))=1,0,VLOOKUP(R117,G46:Q55,11,FALSE))</f>
        <v>0</v>
      </c>
      <c r="V117" s="1139">
        <f>IF(1*ISERROR(VLOOKUP(R117,I46:Q55,9,FALSE))=1,0,VLOOKUP(R117,I46:Q55,9,FALSE))</f>
        <v>0</v>
      </c>
      <c r="W117" s="1139">
        <f>IF(1*ISERROR(VLOOKUP(R117,K46:Q55,7,FALSE))=1,0,VLOOKUP(R117,K46:Q55,7,FALSE))</f>
        <v>0</v>
      </c>
      <c r="X117" s="1139">
        <f>IF(1*ISERROR(VLOOKUP(R117,M46:Q55,5,FALSE))=1,0,VLOOKUP(R117,M46:Q55,5,FALSE))</f>
        <v>0</v>
      </c>
      <c r="Y117" s="1139">
        <f t="shared" si="24"/>
        <v>0</v>
      </c>
      <c r="Z117" s="1139">
        <f t="shared" si="7"/>
        <v>0</v>
      </c>
      <c r="AA117" s="1139">
        <f>IF(Z117=0,35,_xlfn.RANK.EQ(Z117,Z98:Z132))</f>
        <v>35</v>
      </c>
      <c r="AB117" s="1139">
        <f>IF(AA117=35,35,AA117+COUNTIF(AA$98:AA116,AA117)/COUNTIF(AA$98:AA$132,AA117))</f>
        <v>35</v>
      </c>
      <c r="AC117" s="1139">
        <f t="shared" si="8"/>
        <v>13</v>
      </c>
      <c r="AD117" s="1139" t="s">
        <v>399</v>
      </c>
      <c r="AE117" s="1139">
        <f>IF(1*ISERROR(VLOOKUP(R117,C56:Q65,15,FALSE)-10)=1,0,VLOOKUP(R117,C56:Q65,15,FALSE)-10)</f>
        <v>0</v>
      </c>
      <c r="AF117" s="1139">
        <f>IF(1*ISERROR(VLOOKUP(R117,E56:Q65,13,FALSE)-10)=1,0,VLOOKUP(R117,E56:Q65,13,FALSE)-10)</f>
        <v>0</v>
      </c>
      <c r="AG117" s="1139">
        <f>IF(1*ISERROR(VLOOKUP(R117,G56:Q65,11,FALSE)-10)=1,0,VLOOKUP(R117,G56:Q65,11,FALSE)-10)</f>
        <v>0</v>
      </c>
      <c r="AH117" s="1139">
        <f>IF(1*ISERROR(VLOOKUP(R117,I56:Q65,9,FALSE)-10)=1,0,VLOOKUP(R117,I56:Q65,9,FALSE)-10)</f>
        <v>0</v>
      </c>
      <c r="AI117" s="1139">
        <f>IF(1*ISERROR(VLOOKUP(R117,K56:Q65,7,FALSE)-10)=1,0,VLOOKUP(R117,K56:Q65,7,FALSE)-10)</f>
        <v>0</v>
      </c>
      <c r="AJ117" s="1139">
        <f>IF(1*ISERROR(VLOOKUP(R117,M56:Q65,5,FALSE)-10)=1,0,VLOOKUP(R117,M56:Q65,5,FALSE)-10)</f>
        <v>0</v>
      </c>
      <c r="AK117" s="1139">
        <f t="shared" si="17"/>
        <v>0</v>
      </c>
      <c r="AL117" s="1139">
        <f t="shared" si="15"/>
        <v>0</v>
      </c>
      <c r="AM117" s="1139">
        <f>IF(AL117=0,35,_xlfn.RANK.EQ(AL117,AL98:AL132))</f>
        <v>35</v>
      </c>
      <c r="AN117" s="1139">
        <f>IF(AM117=35,35,AM117+COUNTIF(AM$98:AM116,AM117)/COUNTIF(AM$98:AM$132,AM117))</f>
        <v>35</v>
      </c>
      <c r="AO117" s="1139">
        <f t="shared" si="9"/>
        <v>12</v>
      </c>
      <c r="AP117" s="1139" t="s">
        <v>399</v>
      </c>
      <c r="AQ117" s="1139">
        <f>IF(1*ISERROR(VLOOKUP(R117,C66:Q75,15,FALSE)-20)=1,0,VLOOKUP(R117,C66:Q75,15,FALSE)-20)</f>
        <v>0</v>
      </c>
      <c r="AR117" s="1139">
        <f>IF(1*ISERROR(VLOOKUP(R117,E66:Q75,13,FALSE)-20)=1,0,VLOOKUP(R117,E66:Q75,13,FALSE)-20)</f>
        <v>0</v>
      </c>
      <c r="AS117" s="1139">
        <f>IF(1*ISERROR(VLOOKUP(R117,G66:Q75,11,FALSE)-20)=1,0,VLOOKUP(R117,G66:Q75,11,FALSE)-20)</f>
        <v>0</v>
      </c>
      <c r="AT117" s="1139">
        <f>IF(1*ISERROR(VLOOKUP(R117,I66:Q75,9,FALSE)-20)=1,0,VLOOKUP(R117,I66:Q75,9,FALSE)-20)</f>
        <v>0</v>
      </c>
      <c r="AU117" s="1139">
        <f>IF(1*ISERROR(VLOOKUP(R117,K66:Q75,7,FALSE)-20)=1,0,VLOOKUP(R117,K66:Q75,7,FALSE)-20)</f>
        <v>0</v>
      </c>
      <c r="AV117" s="1139">
        <f>IF(1*ISERROR(VLOOKUP(R117,M66:Q75,5,FALSE)-20)=1,0,VLOOKUP(R117,M66:Q75,5,FALSE)-20)</f>
        <v>0</v>
      </c>
      <c r="AW117" s="1139">
        <v>0</v>
      </c>
      <c r="AX117" s="1139">
        <f t="shared" si="10"/>
        <v>0</v>
      </c>
      <c r="AY117" s="1139">
        <f>IF(AX117=0,35,_xlfn.RANK.EQ(AX117,AX98:AX132))</f>
        <v>35</v>
      </c>
      <c r="AZ117" s="1139">
        <f>IF(AY117=35,35,AY117+COUNTIF(AY$98:AY116,AY117)/COUNTIF(AY$98:AY$132,AY117))</f>
        <v>35</v>
      </c>
      <c r="BA117" s="1139">
        <f t="shared" si="11"/>
        <v>13</v>
      </c>
      <c r="BB117" s="1139" t="s">
        <v>399</v>
      </c>
      <c r="BC117" s="1139">
        <f>IF(1*ISERROR(VLOOKUP(R117,C76:Q85,15,FALSE)-30)=1,0,VLOOKUP(R117,C76:Q85,15,FALSE)-30)</f>
        <v>7</v>
      </c>
      <c r="BD117" s="1139">
        <f>IF(1*ISERROR(VLOOKUP(R117,E76:Q85,13,FALSE)-30)=1,0,VLOOKUP(R117,E76:Q85,13,FALSE)-30)</f>
        <v>7</v>
      </c>
      <c r="BE117" s="1139">
        <f>IF(1*ISERROR(VLOOKUP(R117,G76:Q85,11,FALSE)-30)=1,0,VLOOKUP(R117,G76:Q85,11,FALSE)-30)</f>
        <v>7</v>
      </c>
      <c r="BF117" s="1139">
        <f>IF(1*ISERROR(VLOOKUP(R117,I76:Q85,9,FALSE)-30)=1,0,VLOOKUP(R117,I76:Q85,9,FALSE)-30)</f>
        <v>9</v>
      </c>
      <c r="BG117" s="1139">
        <f>IF(1*ISERROR(VLOOKUP(R117,K76:Q85,7,FALSE)-30)=1,0,VLOOKUP(R117,K76:Q85,7,FALSE)-30)</f>
        <v>9</v>
      </c>
      <c r="BH117" s="1139">
        <f>IF(1*ISERROR(VLOOKUP(R117,M76:Q85,5,FALSE)-30)=1,0,VLOOKUP(R117,M76:Q85,5,FALSE)-30)</f>
        <v>10</v>
      </c>
      <c r="BI117" s="1139">
        <v>8</v>
      </c>
      <c r="BJ117" s="1139">
        <f t="shared" si="18"/>
        <v>49</v>
      </c>
      <c r="BK117" s="1139">
        <f t="shared" si="12"/>
        <v>1</v>
      </c>
      <c r="BL117" s="1139">
        <f>IF(BK117=35,35,BK117+COUNTIF(BK$98:BK116,BK117)/COUNTIF(BK$98:BK$132,BK117))</f>
        <v>1</v>
      </c>
      <c r="BM117" s="1139">
        <f t="shared" si="13"/>
        <v>1</v>
      </c>
      <c r="BN117" s="1139" t="s">
        <v>399</v>
      </c>
      <c r="BO117" s="1139">
        <f>IF(1*ISERROR(VLOOKUP(R117,C86:Q95,15,FALSE)-40)=1,0,VLOOKUP(R117,C86:Q95,15,FALSE)-40)</f>
        <v>0</v>
      </c>
      <c r="BP117" s="1139">
        <f>IF(1*ISERROR(VLOOKUP(R117,E86:Q95,13,FALSE)-40)=1,0,VLOOKUP(R117,E86:Q95,13,FALSE)-40)</f>
        <v>0</v>
      </c>
      <c r="BQ117" s="1139">
        <f>IF(1*ISERROR(VLOOKUP(R117,G86:Q95,11,FALSE)-40)=1,0,VLOOKUP(R117,G86:Q95,11,FALSE)-40)</f>
        <v>0</v>
      </c>
      <c r="BR117" s="1139">
        <f>IF(1*ISERROR(VLOOKUP(R117,I86:Q95,9,FALSE)-40)=1,0,VLOOKUP(R117,I86:Q95,9,FALSE)-40)</f>
        <v>0</v>
      </c>
      <c r="BS117" s="1139">
        <f>IF(1*ISERROR(VLOOKUP(R117,K86:Q95,7,FALSE)-40)=1,0,VLOOKUP(R117,K86:Q95,7,FALSE)-40)</f>
        <v>0</v>
      </c>
      <c r="BT117" s="1139">
        <f>IF(1*ISERROR(VLOOKUP(R117,M86:Q95,5,FALSE)-40)=1,0,VLOOKUP(R117,M86:Q95,5,FALSE)-40)</f>
        <v>0</v>
      </c>
      <c r="BU117" s="1139">
        <f t="shared" si="25"/>
        <v>0</v>
      </c>
      <c r="BV117" s="1139">
        <f t="shared" si="19"/>
        <v>0</v>
      </c>
      <c r="BW117" s="1139">
        <f>IF(BV117=0,35,_xlfn.RANK.EQ(BV117,BV98:BV132))</f>
        <v>35</v>
      </c>
      <c r="BX117" s="1139">
        <f>IF(BW117=35,35,BW117+COUNTIF(BW$98:BW116,BW117)/COUNTIF(BW$98:BW$132,BW117))</f>
        <v>35</v>
      </c>
      <c r="BY117" s="1139">
        <f t="shared" si="14"/>
        <v>11</v>
      </c>
      <c r="BZ117" s="1139" t="s">
        <v>399</v>
      </c>
      <c r="CA117" s="1098"/>
      <c r="CB117" s="1098"/>
      <c r="CC117" s="839"/>
    </row>
    <row r="118" spans="17:81" s="1086" customFormat="1">
      <c r="Q118" s="1138">
        <f t="shared" si="6"/>
        <v>21</v>
      </c>
      <c r="R118" s="1139" t="s">
        <v>411</v>
      </c>
      <c r="S118" s="1139">
        <f>IF(1*ISERROR(VLOOKUP(R118,C46:Q55,15,FALSE))=1,0,VLOOKUP(R118,C46:Q55,15,FALSE))</f>
        <v>0</v>
      </c>
      <c r="T118" s="1139">
        <f>IF(1*ISERROR(VLOOKUP(R118,E46:Q55,13,FALSE))=1,0,VLOOKUP(R118,E46:Q55,13,FALSE))</f>
        <v>0</v>
      </c>
      <c r="U118" s="1139">
        <f>IF(1*ISERROR(VLOOKUP(R118,G46:Q55,11,FALSE))=1,0,VLOOKUP(R118,G46:Q55,11,FALSE))</f>
        <v>0</v>
      </c>
      <c r="V118" s="1139">
        <f>IF(1*ISERROR(VLOOKUP(R118,I46:Q55,9,FALSE))=1,0,VLOOKUP(R118,I46:Q55,9,FALSE))</f>
        <v>0</v>
      </c>
      <c r="W118" s="1139">
        <f>IF(1*ISERROR(VLOOKUP(R118,K46:Q55,7,FALSE))=1,0,VLOOKUP(R118,K46:Q55,7,FALSE))</f>
        <v>0</v>
      </c>
      <c r="X118" s="1139">
        <f>IF(1*ISERROR(VLOOKUP(R118,M46:Q55,5,FALSE))=1,0,VLOOKUP(R118,M46:Q55,5,FALSE))</f>
        <v>0</v>
      </c>
      <c r="Y118" s="1139">
        <f t="shared" si="24"/>
        <v>0</v>
      </c>
      <c r="Z118" s="1139">
        <f t="shared" si="7"/>
        <v>0</v>
      </c>
      <c r="AA118" s="1139">
        <f>IF(Z118=0,35,_xlfn.RANK.EQ(Z118,Z98:Z132))</f>
        <v>35</v>
      </c>
      <c r="AB118" s="1139">
        <f>IF(AA118=35,35,AA118+COUNTIF(AA$98:AA117,AA118)/COUNTIF(AA$98:AA$132,AA118))</f>
        <v>35</v>
      </c>
      <c r="AC118" s="1139">
        <f t="shared" si="8"/>
        <v>13</v>
      </c>
      <c r="AD118" s="1139" t="s">
        <v>411</v>
      </c>
      <c r="AE118" s="1139">
        <f>IF(1*ISERROR(VLOOKUP(R118,C56:Q65,15,FALSE)-10)=1,0,VLOOKUP(R118,C56:Q65,15,FALSE)-10)</f>
        <v>0</v>
      </c>
      <c r="AF118" s="1139">
        <f>IF(1*ISERROR(VLOOKUP(R118,E56:Q65,13,FALSE)-10)=1,0,VLOOKUP(R118,E56:Q65,13,FALSE)-10)</f>
        <v>0</v>
      </c>
      <c r="AG118" s="1139">
        <f>IF(1*ISERROR(VLOOKUP(R118,G56:Q65,11,FALSE)-10)=1,0,VLOOKUP(R118,G56:Q65,11,FALSE)-10)</f>
        <v>0</v>
      </c>
      <c r="AH118" s="1139">
        <f>IF(1*ISERROR(VLOOKUP(R118,I56:Q65,9,FALSE)-10)=1,0,VLOOKUP(R118,I56:Q65,9,FALSE)-10)</f>
        <v>0</v>
      </c>
      <c r="AI118" s="1139">
        <f>IF(1*ISERROR(VLOOKUP(R118,K56:Q65,7,FALSE)-10)=1,0,VLOOKUP(R118,K56:Q65,7,FALSE)-10)</f>
        <v>0</v>
      </c>
      <c r="AJ118" s="1139">
        <f>IF(1*ISERROR(VLOOKUP(R118,M56:Q65,5,FALSE)-10)=1,0,VLOOKUP(R118,M56:Q65,5,FALSE)-10)</f>
        <v>0</v>
      </c>
      <c r="AK118" s="1139">
        <f t="shared" si="17"/>
        <v>0</v>
      </c>
      <c r="AL118" s="1139">
        <f t="shared" si="15"/>
        <v>0</v>
      </c>
      <c r="AM118" s="1139">
        <f>IF(AL118=0,35,_xlfn.RANK.EQ(AL118,AL98:AL132))</f>
        <v>35</v>
      </c>
      <c r="AN118" s="1139">
        <f>IF(AM118=35,35,AM118+COUNTIF(AM$98:AM117,AM118)/COUNTIF(AM$98:AM$132,AM118))</f>
        <v>35</v>
      </c>
      <c r="AO118" s="1139">
        <f t="shared" si="9"/>
        <v>12</v>
      </c>
      <c r="AP118" s="1139" t="s">
        <v>411</v>
      </c>
      <c r="AQ118" s="1139">
        <f>IF(1*ISERROR(VLOOKUP(R118,C66:Q75,15,FALSE)-20)=1,0,VLOOKUP(R118,C66:Q75,15,FALSE)-20)</f>
        <v>0</v>
      </c>
      <c r="AR118" s="1139">
        <f>IF(1*ISERROR(VLOOKUP(R118,E66:Q75,13,FALSE)-20)=1,0,VLOOKUP(R118,E66:Q75,13,FALSE)-20)</f>
        <v>0</v>
      </c>
      <c r="AS118" s="1139">
        <f>IF(1*ISERROR(VLOOKUP(R118,G66:Q75,11,FALSE)-20)=1,0,VLOOKUP(R118,G66:Q75,11,FALSE)-20)</f>
        <v>0</v>
      </c>
      <c r="AT118" s="1139">
        <f>IF(1*ISERROR(VLOOKUP(R118,I66:Q75,9,FALSE)-20)=1,0,VLOOKUP(R118,I66:Q75,9,FALSE)-20)</f>
        <v>0</v>
      </c>
      <c r="AU118" s="1139">
        <f>IF(1*ISERROR(VLOOKUP(R118,K66:Q75,7,FALSE)-20)=1,0,VLOOKUP(R118,K66:Q75,7,FALSE)-20)</f>
        <v>0</v>
      </c>
      <c r="AV118" s="1139">
        <f>IF(1*ISERROR(VLOOKUP(R118,M66:Q75,5,FALSE)-20)=1,0,VLOOKUP(R118,M66:Q75,5,FALSE)-20)</f>
        <v>0</v>
      </c>
      <c r="AW118" s="1139">
        <f t="shared" si="16"/>
        <v>0</v>
      </c>
      <c r="AX118" s="1139">
        <f t="shared" si="10"/>
        <v>0</v>
      </c>
      <c r="AY118" s="1139">
        <f>IF(AX118=0,35,_xlfn.RANK.EQ(AX118,AX98:AX132))</f>
        <v>35</v>
      </c>
      <c r="AZ118" s="1139">
        <f>IF(AY118=35,35,AY118+COUNTIF(AY$98:AY117,AY118)/COUNTIF(AY$98:AY$132,AY118))</f>
        <v>35</v>
      </c>
      <c r="BA118" s="1139">
        <f t="shared" si="11"/>
        <v>13</v>
      </c>
      <c r="BB118" s="1139" t="s">
        <v>411</v>
      </c>
      <c r="BC118" s="1139">
        <f>IF(1*ISERROR(VLOOKUP(R118,C76:Q85,15,FALSE)-30)=1,0,VLOOKUP(R118,C76:Q85,15,FALSE)-30)</f>
        <v>0</v>
      </c>
      <c r="BD118" s="1139">
        <f>IF(1*ISERROR(VLOOKUP(R118,E76:Q85,13,FALSE)-30)=1,0,VLOOKUP(R118,E76:Q85,13,FALSE)-30)</f>
        <v>0</v>
      </c>
      <c r="BE118" s="1139">
        <f>IF(1*ISERROR(VLOOKUP(R118,G76:Q85,11,FALSE)-30)=1,0,VLOOKUP(R118,G76:Q85,11,FALSE)-30)</f>
        <v>0</v>
      </c>
      <c r="BF118" s="1139">
        <f>IF(1*ISERROR(VLOOKUP(R118,I76:Q85,9,FALSE)-30)=1,0,VLOOKUP(R118,I76:Q85,9,FALSE)-30)</f>
        <v>0</v>
      </c>
      <c r="BG118" s="1139">
        <f>IF(1*ISERROR(VLOOKUP(R118,K76:Q85,7,FALSE)-30)=1,0,VLOOKUP(R118,K76:Q85,7,FALSE)-30)</f>
        <v>0</v>
      </c>
      <c r="BH118" s="1139">
        <f>IF(1*ISERROR(VLOOKUP(R118,M76:Q85,5,FALSE)-30)=1,0,VLOOKUP(R118,M76:Q85,5,FALSE)-30)</f>
        <v>0</v>
      </c>
      <c r="BI118" s="1139">
        <f>IF(1*ISERROR(VLOOKUP(S118,N76:R85,5,FALSE)-30)=1,0,VLOOKUP(S118,N76:R85,5,FALSE)-30)</f>
        <v>0</v>
      </c>
      <c r="BJ118" s="1139">
        <f>SUM(BC118:BI118)</f>
        <v>0</v>
      </c>
      <c r="BK118" s="1139">
        <f t="shared" si="12"/>
        <v>35</v>
      </c>
      <c r="BL118" s="1139">
        <f>IF(BK118=35,35,BK118+COUNTIF(BK$98:BK117,BK118)/COUNTIF(BK$98:BK$132,BK118))</f>
        <v>35</v>
      </c>
      <c r="BM118" s="1139">
        <f t="shared" si="13"/>
        <v>13</v>
      </c>
      <c r="BN118" s="1139" t="s">
        <v>411</v>
      </c>
      <c r="BO118" s="1139">
        <f>IF(1*ISERROR(VLOOKUP(R118,C86:Q95,15,FALSE)-40)=1,0,VLOOKUP(R118,C86:Q95,15,FALSE)-40)</f>
        <v>0</v>
      </c>
      <c r="BP118" s="1139">
        <f>IF(1*ISERROR(VLOOKUP(R118,E86:Q95,13,FALSE)-40)=1,0,VLOOKUP(R118,E86:Q95,13,FALSE)-40)</f>
        <v>0</v>
      </c>
      <c r="BQ118" s="1139">
        <f>IF(1*ISERROR(VLOOKUP(R118,G86:Q95,11,FALSE)-40)=1,0,VLOOKUP(R118,G86:Q95,11,FALSE)-40)</f>
        <v>0</v>
      </c>
      <c r="BR118" s="1139">
        <f>IF(1*ISERROR(VLOOKUP(R118,I86:Q95,9,FALSE)-40)=1,0,VLOOKUP(R118,I86:Q95,9,FALSE)-40)</f>
        <v>0</v>
      </c>
      <c r="BS118" s="1139">
        <f>IF(1*ISERROR(VLOOKUP(R118,K86:Q95,7,FALSE)-40)=1,0,VLOOKUP(R118,K86:Q95,7,FALSE)-40)</f>
        <v>0</v>
      </c>
      <c r="BT118" s="1139">
        <f>IF(1*ISERROR(VLOOKUP(R118,M86:Q95,5,FALSE)-40)=1,0,VLOOKUP(R118,M86:Q95,5,FALSE)-40)</f>
        <v>0</v>
      </c>
      <c r="BU118" s="1139">
        <f t="shared" si="25"/>
        <v>0</v>
      </c>
      <c r="BV118" s="1139">
        <f t="shared" si="19"/>
        <v>0</v>
      </c>
      <c r="BW118" s="1139">
        <f>IF(BV118=0,35,_xlfn.RANK.EQ(BV118,BV98:BV132))</f>
        <v>35</v>
      </c>
      <c r="BX118" s="1139">
        <f>IF(BW118=35,35,BW118+COUNTIF(BW$98:BW117,BW118)/COUNTIF(BW$98:BW$132,BW118))</f>
        <v>35</v>
      </c>
      <c r="BY118" s="1139">
        <f t="shared" si="14"/>
        <v>11</v>
      </c>
      <c r="BZ118" s="1139" t="s">
        <v>411</v>
      </c>
      <c r="CA118" s="1098"/>
      <c r="CB118" s="1098"/>
      <c r="CC118" s="839"/>
    </row>
    <row r="119" spans="17:81" s="1086" customFormat="1">
      <c r="Q119" s="1138">
        <f t="shared" si="6"/>
        <v>22</v>
      </c>
      <c r="R119" s="1139" t="s">
        <v>412</v>
      </c>
      <c r="S119" s="1139">
        <f>IF(1*ISERROR(VLOOKUP(R119,C46:Q55,15,FALSE))=1,0,VLOOKUP(R119,C46:Q55,15,FALSE))</f>
        <v>0</v>
      </c>
      <c r="T119" s="1139">
        <f>IF(1*ISERROR(VLOOKUP(R119,E46:Q55,13,FALSE))=1,0,VLOOKUP(R119,E46:Q55,13,FALSE))</f>
        <v>0</v>
      </c>
      <c r="U119" s="1139">
        <f>IF(1*ISERROR(VLOOKUP(R119,G46:Q55,11,FALSE))=1,0,VLOOKUP(R119,G46:Q55,11,FALSE))</f>
        <v>0</v>
      </c>
      <c r="V119" s="1139">
        <f>IF(1*ISERROR(VLOOKUP(R119,I46:Q55,9,FALSE))=1,0,VLOOKUP(R119,I46:Q55,9,FALSE))</f>
        <v>0</v>
      </c>
      <c r="W119" s="1139">
        <f>IF(1*ISERROR(VLOOKUP(R119,K46:Q55,7,FALSE))=1,0,VLOOKUP(R119,K46:Q55,7,FALSE))</f>
        <v>0</v>
      </c>
      <c r="X119" s="1139">
        <f>IF(1*ISERROR(VLOOKUP(R119,M46:Q55,5,FALSE))=1,0,VLOOKUP(R119,M46:Q55,5,FALSE))</f>
        <v>0</v>
      </c>
      <c r="Y119" s="1139">
        <f t="shared" si="24"/>
        <v>0</v>
      </c>
      <c r="Z119" s="1139">
        <f t="shared" si="7"/>
        <v>0</v>
      </c>
      <c r="AA119" s="1139">
        <f>IF(Z119=0,35,_xlfn.RANK.EQ(Z119,Z98:Z132))</f>
        <v>35</v>
      </c>
      <c r="AB119" s="1139">
        <f>IF(AA119=35,35,AA119+COUNTIF(AA$98:AA118,AA119)/COUNTIF(AA$98:AA$132,AA119))</f>
        <v>35</v>
      </c>
      <c r="AC119" s="1139">
        <f t="shared" si="8"/>
        <v>13</v>
      </c>
      <c r="AD119" s="1139" t="s">
        <v>412</v>
      </c>
      <c r="AE119" s="1139">
        <f>IF(1*ISERROR(VLOOKUP(R119,C56:Q65,15,FALSE)-10)=1,0,VLOOKUP(R119,C56:Q65,15,FALSE)-10)</f>
        <v>0</v>
      </c>
      <c r="AF119" s="1139">
        <f>IF(1*ISERROR(VLOOKUP(R119,E56:Q65,13,FALSE)-10)=1,0,VLOOKUP(R119,E56:Q65,13,FALSE)-10)</f>
        <v>0</v>
      </c>
      <c r="AG119" s="1139">
        <f>IF(1*ISERROR(VLOOKUP(R119,G56:Q65,11,FALSE)-10)=1,0,VLOOKUP(R119,G56:Q65,11,FALSE)-10)</f>
        <v>0</v>
      </c>
      <c r="AH119" s="1139">
        <f>IF(1*ISERROR(VLOOKUP(R119,I56:Q65,9,FALSE)-10)=1,0,VLOOKUP(R119,I56:Q65,9,FALSE)-10)</f>
        <v>0</v>
      </c>
      <c r="AI119" s="1139">
        <f>IF(1*ISERROR(VLOOKUP(R119,K56:Q65,7,FALSE)-10)=1,0,VLOOKUP(R119,K56:Q65,7,FALSE)-10)</f>
        <v>0</v>
      </c>
      <c r="AJ119" s="1139">
        <f>IF(1*ISERROR(VLOOKUP(R119,M56:Q65,5,FALSE)-10)=1,0,VLOOKUP(R119,M56:Q65,5,FALSE)-10)</f>
        <v>0</v>
      </c>
      <c r="AK119" s="1139">
        <f t="shared" si="17"/>
        <v>0</v>
      </c>
      <c r="AL119" s="1139">
        <f t="shared" si="15"/>
        <v>0</v>
      </c>
      <c r="AM119" s="1139">
        <f>IF(AL119=0,35,_xlfn.RANK.EQ(AL119,AL98:AL132))</f>
        <v>35</v>
      </c>
      <c r="AN119" s="1139">
        <f>IF(AM119=35,35,AM119+COUNTIF(AM$98:AM118,AM119)/COUNTIF(AM$98:AM$132,AM119))</f>
        <v>35</v>
      </c>
      <c r="AO119" s="1139">
        <f t="shared" si="9"/>
        <v>12</v>
      </c>
      <c r="AP119" s="1139" t="s">
        <v>412</v>
      </c>
      <c r="AQ119" s="1139">
        <f>IF(1*ISERROR(VLOOKUP(R119,C66:Q75,15,FALSE)-20)=1,0,VLOOKUP(R119,C66:Q75,15,FALSE)-20)</f>
        <v>0</v>
      </c>
      <c r="AR119" s="1139">
        <f>IF(1*ISERROR(VLOOKUP(R119,E66:Q75,13,FALSE)-20)=1,0,VLOOKUP(R119,E66:Q75,13,FALSE)-20)</f>
        <v>0</v>
      </c>
      <c r="AS119" s="1139">
        <f>IF(1*ISERROR(VLOOKUP(R119,G66:Q75,11,FALSE)-20)=1,0,VLOOKUP(R119,G66:Q75,11,FALSE)-20)</f>
        <v>0</v>
      </c>
      <c r="AT119" s="1139">
        <f>IF(1*ISERROR(VLOOKUP(R119,I66:Q75,9,FALSE)-20)=1,0,VLOOKUP(R119,I66:Q75,9,FALSE)-20)</f>
        <v>0</v>
      </c>
      <c r="AU119" s="1139">
        <f>IF(1*ISERROR(VLOOKUP(R119,K66:Q75,7,FALSE)-20)=1,0,VLOOKUP(R119,K66:Q75,7,FALSE)-20)</f>
        <v>0</v>
      </c>
      <c r="AV119" s="1139">
        <f>IF(1*ISERROR(VLOOKUP(R119,M66:Q75,5,FALSE)-20)=1,0,VLOOKUP(R119,M66:Q75,5,FALSE)-20)</f>
        <v>0</v>
      </c>
      <c r="AW119" s="1139">
        <f t="shared" si="16"/>
        <v>0</v>
      </c>
      <c r="AX119" s="1139">
        <f t="shared" si="10"/>
        <v>0</v>
      </c>
      <c r="AY119" s="1139">
        <f>IF(AX119=0,35,_xlfn.RANK.EQ(AX119,AX98:AX132))</f>
        <v>35</v>
      </c>
      <c r="AZ119" s="1139">
        <f>IF(AY119=35,35,AY119+COUNTIF(AY$98:AY118,AY119)/COUNTIF(AY$98:AY$132,AY119))</f>
        <v>35</v>
      </c>
      <c r="BA119" s="1139">
        <f t="shared" si="11"/>
        <v>13</v>
      </c>
      <c r="BB119" s="1139" t="s">
        <v>412</v>
      </c>
      <c r="BC119" s="1139">
        <f>IF(1*ISERROR(VLOOKUP(R119,C76:Q85,15,FALSE)-30)=1,0,VLOOKUP(R119,C76:Q85,15,FALSE)-30)</f>
        <v>0</v>
      </c>
      <c r="BD119" s="1139">
        <f>IF(1*ISERROR(VLOOKUP(R119,E76:Q85,13,FALSE)-30)=1,0,VLOOKUP(R119,E76:Q85,13,FALSE)-30)</f>
        <v>0</v>
      </c>
      <c r="BE119" s="1139">
        <f>IF(1*ISERROR(VLOOKUP(R119,G76:Q85,11,FALSE)-30)=1,0,VLOOKUP(R119,G76:Q85,11,FALSE)-30)</f>
        <v>0</v>
      </c>
      <c r="BF119" s="1139">
        <f>IF(1*ISERROR(VLOOKUP(R119,I76:Q85,9,FALSE)-30)=1,0,VLOOKUP(R119,I76:Q85,9,FALSE)-30)</f>
        <v>0</v>
      </c>
      <c r="BG119" s="1139">
        <f>IF(1*ISERROR(VLOOKUP(R119,K76:Q85,7,FALSE)-30)=1,0,VLOOKUP(R119,K76:Q85,7,FALSE)-30)</f>
        <v>0</v>
      </c>
      <c r="BH119" s="1139">
        <f>IF(1*ISERROR(VLOOKUP(R119,M76:Q85,5,FALSE)-30)=1,0,VLOOKUP(R119,M76:Q85,5,FALSE)-30)</f>
        <v>0</v>
      </c>
      <c r="BI119" s="1139">
        <f>IF(1*ISERROR(VLOOKUP(S119,N76:R85,5,FALSE)-30)=1,0,VLOOKUP(S119,N76:R85,5,FALSE)-30)</f>
        <v>0</v>
      </c>
      <c r="BJ119" s="1139">
        <f>SUM(BC119:BI119)</f>
        <v>0</v>
      </c>
      <c r="BK119" s="1139">
        <f t="shared" si="12"/>
        <v>35</v>
      </c>
      <c r="BL119" s="1139">
        <f>IF(BK119=35,35,BK119+COUNTIF(BK$98:BK118,BK119)/COUNTIF(BK$98:BK$132,BK119))</f>
        <v>35</v>
      </c>
      <c r="BM119" s="1139">
        <f t="shared" si="13"/>
        <v>13</v>
      </c>
      <c r="BN119" s="1139" t="s">
        <v>412</v>
      </c>
      <c r="BO119" s="1139">
        <f>IF(1*ISERROR(VLOOKUP(R119,C86:Q95,15,FALSE)-40)=1,0,VLOOKUP(R119,C86:Q95,15,FALSE)-40)</f>
        <v>0</v>
      </c>
      <c r="BP119" s="1139">
        <f>IF(1*ISERROR(VLOOKUP(R119,E86:Q95,13,FALSE)-40)=1,0,VLOOKUP(R119,E86:Q95,13,FALSE)-40)</f>
        <v>0</v>
      </c>
      <c r="BQ119" s="1139">
        <f>IF(1*ISERROR(VLOOKUP(R119,G86:Q95,11,FALSE)-40)=1,0,VLOOKUP(R119,G86:Q95,11,FALSE)-40)</f>
        <v>0</v>
      </c>
      <c r="BR119" s="1139">
        <f>IF(1*ISERROR(VLOOKUP(R119,I86:Q95,9,FALSE)-40)=1,0,VLOOKUP(R119,I86:Q95,9,FALSE)-40)</f>
        <v>0</v>
      </c>
      <c r="BS119" s="1139">
        <f>IF(1*ISERROR(VLOOKUP(R119,K86:Q95,7,FALSE)-40)=1,0,VLOOKUP(R119,K86:Q95,7,FALSE)-40)</f>
        <v>0</v>
      </c>
      <c r="BT119" s="1139">
        <f>IF(1*ISERROR(VLOOKUP(R119,M86:Q95,5,FALSE)-40)=1,0,VLOOKUP(R119,M86:Q95,5,FALSE)-40)</f>
        <v>0</v>
      </c>
      <c r="BU119" s="1139">
        <f t="shared" si="25"/>
        <v>0</v>
      </c>
      <c r="BV119" s="1139">
        <f t="shared" si="19"/>
        <v>0</v>
      </c>
      <c r="BW119" s="1139">
        <f>IF(BV119=0,35,_xlfn.RANK.EQ(BV119,BV98:BV132))</f>
        <v>35</v>
      </c>
      <c r="BX119" s="1139">
        <f>IF(BW119=35,35,BW119+COUNTIF(BW$98:BW118,BW119)/COUNTIF(BW$98:BW$132,BW119))</f>
        <v>35</v>
      </c>
      <c r="BY119" s="1139">
        <f t="shared" si="14"/>
        <v>11</v>
      </c>
      <c r="BZ119" s="1139" t="s">
        <v>412</v>
      </c>
      <c r="CA119" s="1098"/>
      <c r="CB119" s="1098"/>
      <c r="CC119" s="839"/>
    </row>
    <row r="120" spans="17:81" s="1086" customFormat="1">
      <c r="Q120" s="1138">
        <f t="shared" si="6"/>
        <v>23</v>
      </c>
      <c r="R120" s="1139" t="s">
        <v>401</v>
      </c>
      <c r="S120" s="1139">
        <f>IF(1*ISERROR(VLOOKUP(R120,C46:Q55,15,FALSE))=1,0,VLOOKUP(R120,C46:Q55,15,FALSE))</f>
        <v>0</v>
      </c>
      <c r="T120" s="1139">
        <f>IF(1*ISERROR(VLOOKUP(R120,E46:Q55,13,FALSE))=1,0,VLOOKUP(R120,E46:Q55,13,FALSE))</f>
        <v>0</v>
      </c>
      <c r="U120" s="1139">
        <f>IF(1*ISERROR(VLOOKUP(R120,G46:Q55,11,FALSE))=1,0,VLOOKUP(R120,G46:Q55,11,FALSE))</f>
        <v>0</v>
      </c>
      <c r="V120" s="1139">
        <f>IF(1*ISERROR(VLOOKUP(R120,I46:Q55,9,FALSE))=1,0,VLOOKUP(R120,I46:Q55,9,FALSE))</f>
        <v>0</v>
      </c>
      <c r="W120" s="1139">
        <f>IF(1*ISERROR(VLOOKUP(R120,K46:Q55,7,FALSE))=1,0,VLOOKUP(R120,K46:Q55,7,FALSE))</f>
        <v>0</v>
      </c>
      <c r="X120" s="1139">
        <f>IF(1*ISERROR(VLOOKUP(R120,M46:Q55,5,FALSE))=1,0,VLOOKUP(R120,M46:Q55,5,FALSE))</f>
        <v>0</v>
      </c>
      <c r="Y120" s="1139">
        <f t="shared" si="24"/>
        <v>0</v>
      </c>
      <c r="Z120" s="1139">
        <f t="shared" si="7"/>
        <v>0</v>
      </c>
      <c r="AA120" s="1139">
        <f>IF(Z120=0,35,_xlfn.RANK.EQ(Z120,Z98:Z132))</f>
        <v>35</v>
      </c>
      <c r="AB120" s="1139">
        <f>IF(AA120=35,35,AA120+COUNTIF(AA$98:AA119,AA120)/COUNTIF(AA$98:AA$132,AA120))</f>
        <v>35</v>
      </c>
      <c r="AC120" s="1139">
        <f t="shared" si="8"/>
        <v>13</v>
      </c>
      <c r="AD120" s="1139" t="s">
        <v>401</v>
      </c>
      <c r="AE120" s="1139">
        <f>IF(1*ISERROR(VLOOKUP(R120,C56:Q65,15,FALSE)-10)=1,0,VLOOKUP(R120,C56:Q65,15,FALSE)-10)</f>
        <v>0</v>
      </c>
      <c r="AF120" s="1139">
        <f>IF(1*ISERROR(VLOOKUP(R120,E56:Q65,13,FALSE)-10)=1,0,VLOOKUP(R120,E56:Q65,13,FALSE)-10)</f>
        <v>0</v>
      </c>
      <c r="AG120" s="1139">
        <f>IF(1*ISERROR(VLOOKUP(R120,G56:Q65,11,FALSE)-10)=1,0,VLOOKUP(R120,G56:Q65,11,FALSE)-10)</f>
        <v>0</v>
      </c>
      <c r="AH120" s="1139">
        <f>IF(1*ISERROR(VLOOKUP(R120,I56:Q65,9,FALSE)-10)=1,0,VLOOKUP(R120,I56:Q65,9,FALSE)-10)</f>
        <v>0</v>
      </c>
      <c r="AI120" s="1139">
        <f>IF(1*ISERROR(VLOOKUP(R120,K56:Q65,7,FALSE)-10)=1,0,VLOOKUP(R120,K56:Q65,7,FALSE)-10)</f>
        <v>0</v>
      </c>
      <c r="AJ120" s="1139">
        <f>IF(1*ISERROR(VLOOKUP(R120,M56:Q65,5,FALSE)-10)=1,0,VLOOKUP(R120,M56:Q65,5,FALSE)-10)</f>
        <v>0</v>
      </c>
      <c r="AK120" s="1139">
        <f t="shared" si="17"/>
        <v>0</v>
      </c>
      <c r="AL120" s="1139">
        <f t="shared" si="15"/>
        <v>0</v>
      </c>
      <c r="AM120" s="1139">
        <f>IF(AL120=0,35,_xlfn.RANK.EQ(AL120,AL98:AL132))</f>
        <v>35</v>
      </c>
      <c r="AN120" s="1139">
        <f>IF(AM120=35,35,AM120+COUNTIF(AM$98:AM119,AM120)/COUNTIF(AM$98:AM$132,AM120))</f>
        <v>35</v>
      </c>
      <c r="AO120" s="1139">
        <f t="shared" si="9"/>
        <v>12</v>
      </c>
      <c r="AP120" s="1139" t="s">
        <v>401</v>
      </c>
      <c r="AQ120" s="1139">
        <f>IF(1*ISERROR(VLOOKUP(R120,C66:Q75,15,FALSE)-20)=1,0,VLOOKUP(R120,C66:Q75,15,FALSE)-20)</f>
        <v>0</v>
      </c>
      <c r="AR120" s="1139">
        <f>IF(1*ISERROR(VLOOKUP(R120,E66:Q75,13,FALSE)-20)=1,0,VLOOKUP(R120,E66:Q75,13,FALSE)-20)</f>
        <v>0</v>
      </c>
      <c r="AS120" s="1139">
        <f>IF(1*ISERROR(VLOOKUP(R120,G66:Q75,11,FALSE)-20)=1,0,VLOOKUP(R120,G66:Q75,11,FALSE)-20)</f>
        <v>0</v>
      </c>
      <c r="AT120" s="1139">
        <f>IF(1*ISERROR(VLOOKUP(R120,I66:Q75,9,FALSE)-20)=1,0,VLOOKUP(R120,I66:Q75,9,FALSE)-20)</f>
        <v>0</v>
      </c>
      <c r="AU120" s="1139">
        <f>IF(1*ISERROR(VLOOKUP(R120,K66:Q75,7,FALSE)-20)=1,0,VLOOKUP(R120,K66:Q75,7,FALSE)-20)</f>
        <v>0</v>
      </c>
      <c r="AV120" s="1139">
        <f>IF(1*ISERROR(VLOOKUP(R120,M66:Q75,5,FALSE)-20)=1,0,VLOOKUP(R120,M66:Q75,5,FALSE)-20)</f>
        <v>0</v>
      </c>
      <c r="AW120" s="1139">
        <f t="shared" si="16"/>
        <v>0</v>
      </c>
      <c r="AX120" s="1139">
        <f t="shared" si="10"/>
        <v>0</v>
      </c>
      <c r="AY120" s="1139">
        <f>IF(AX120=0,35,_xlfn.RANK.EQ(AX120,AX98:AX132))</f>
        <v>35</v>
      </c>
      <c r="AZ120" s="1139">
        <f>IF(AY120=35,35,AY120+COUNTIF(AY$98:AY119,AY120)/COUNTIF(AY$98:AY$132,AY120))</f>
        <v>35</v>
      </c>
      <c r="BA120" s="1139">
        <f t="shared" si="11"/>
        <v>13</v>
      </c>
      <c r="BB120" s="1139" t="s">
        <v>401</v>
      </c>
      <c r="BC120" s="1139">
        <f>IF(1*ISERROR(VLOOKUP(R120,C76:Q85,15,FALSE)-30)=1,0,VLOOKUP(R120,C76:Q85,15,FALSE)-30)</f>
        <v>0</v>
      </c>
      <c r="BD120" s="1139">
        <f>IF(1*ISERROR(VLOOKUP(R120,E76:Q85,13,FALSE)-30)=1,0,VLOOKUP(R120,E76:Q85,13,FALSE)-30)</f>
        <v>0</v>
      </c>
      <c r="BE120" s="1139">
        <f>IF(1*ISERROR(VLOOKUP(R120,G76:Q85,11,FALSE)-30)=1,0,VLOOKUP(R120,G76:Q85,11,FALSE)-30)</f>
        <v>9</v>
      </c>
      <c r="BF120" s="1139">
        <f>IF(1*ISERROR(VLOOKUP(R120,I76:Q85,9,FALSE)-30)=1,0,VLOOKUP(R120,I76:Q85,9,FALSE)-30)</f>
        <v>10</v>
      </c>
      <c r="BG120" s="1139">
        <f>IF(1*ISERROR(VLOOKUP(R120,K76:Q85,7,FALSE)-30)=1,0,VLOOKUP(R120,K76:Q85,7,FALSE)-30)</f>
        <v>8</v>
      </c>
      <c r="BH120" s="1139">
        <f>IF(1*ISERROR(VLOOKUP(R120,M76:Q85,5,FALSE)-30)=1,0,VLOOKUP(R120,M76:Q85,5,FALSE)-30)</f>
        <v>8</v>
      </c>
      <c r="BI120" s="1139">
        <v>6</v>
      </c>
      <c r="BJ120" s="1139">
        <f t="shared" si="18"/>
        <v>35</v>
      </c>
      <c r="BK120" s="1139">
        <f t="shared" si="12"/>
        <v>4</v>
      </c>
      <c r="BL120" s="1139">
        <f>IF(BK120=35,35,BK120+COUNTIF(BK$98:BK119,BK120)/COUNTIF(BK$98:BK$132,BK120))</f>
        <v>4</v>
      </c>
      <c r="BM120" s="1139">
        <f t="shared" si="13"/>
        <v>4</v>
      </c>
      <c r="BN120" s="1139" t="s">
        <v>401</v>
      </c>
      <c r="BO120" s="1139">
        <f>IF(1*ISERROR(VLOOKUP(R120,C86:Q95,15,FALSE)-40)=1,0,VLOOKUP(R120,C86:Q95,15,FALSE)-40)</f>
        <v>0</v>
      </c>
      <c r="BP120" s="1139">
        <f>IF(1*ISERROR(VLOOKUP(R120,E86:Q95,13,FALSE)-40)=1,0,VLOOKUP(R120,E86:Q95,13,FALSE)-40)</f>
        <v>0</v>
      </c>
      <c r="BQ120" s="1139">
        <f>IF(1*ISERROR(VLOOKUP(R120,G86:Q95,11,FALSE)-40)=1,0,VLOOKUP(R120,G86:Q95,11,FALSE)-40)</f>
        <v>0</v>
      </c>
      <c r="BR120" s="1139">
        <f>IF(1*ISERROR(VLOOKUP(R120,I86:Q95,9,FALSE)-40)=1,0,VLOOKUP(R120,I86:Q95,9,FALSE)-40)</f>
        <v>0</v>
      </c>
      <c r="BS120" s="1139">
        <f>IF(1*ISERROR(VLOOKUP(R120,K86:Q95,7,FALSE)-40)=1,0,VLOOKUP(R120,K86:Q95,7,FALSE)-40)</f>
        <v>0</v>
      </c>
      <c r="BT120" s="1139">
        <f>IF(1*ISERROR(VLOOKUP(R120,M86:Q95,5,FALSE)-40)=1,0,VLOOKUP(R120,M86:Q95,5,FALSE)-40)</f>
        <v>0</v>
      </c>
      <c r="BU120" s="1139">
        <f t="shared" si="25"/>
        <v>0</v>
      </c>
      <c r="BV120" s="1139">
        <f t="shared" si="19"/>
        <v>0</v>
      </c>
      <c r="BW120" s="1139">
        <f>IF(BV120=0,35,_xlfn.RANK.EQ(BV120,BV98:BV132))</f>
        <v>35</v>
      </c>
      <c r="BX120" s="1139">
        <f>IF(BW120=35,35,BW120+COUNTIF(BW$98:BW119,BW120)/COUNTIF(BW$98:BW$132,BW120))</f>
        <v>35</v>
      </c>
      <c r="BY120" s="1139">
        <f t="shared" si="14"/>
        <v>11</v>
      </c>
      <c r="BZ120" s="1139" t="s">
        <v>401</v>
      </c>
      <c r="CA120" s="1098"/>
      <c r="CB120" s="1098"/>
      <c r="CC120" s="839"/>
    </row>
    <row r="121" spans="17:81" s="1086" customFormat="1">
      <c r="Q121" s="1138">
        <f t="shared" si="6"/>
        <v>24</v>
      </c>
      <c r="R121" s="1139" t="s">
        <v>413</v>
      </c>
      <c r="S121" s="1139">
        <f>IF(1*ISERROR(VLOOKUP(R121,C46:Q55,15,FALSE))=1,0,VLOOKUP(R121,C46:Q55,15,FALSE))</f>
        <v>0</v>
      </c>
      <c r="T121" s="1139">
        <f>IF(1*ISERROR(VLOOKUP(R121,E46:Q55,13,FALSE))=1,0,VLOOKUP(R121,E46:Q55,13,FALSE))</f>
        <v>0</v>
      </c>
      <c r="U121" s="1139">
        <f>IF(1*ISERROR(VLOOKUP(R121,G46:Q55,11,FALSE))=1,0,VLOOKUP(R121,G46:Q55,11,FALSE))</f>
        <v>0</v>
      </c>
      <c r="V121" s="1139">
        <f>IF(1*ISERROR(VLOOKUP(R121,I46:Q55,9,FALSE))=1,0,VLOOKUP(R121,I46:Q55,9,FALSE))</f>
        <v>0</v>
      </c>
      <c r="W121" s="1139">
        <f>IF(1*ISERROR(VLOOKUP(R121,K46:Q55,7,FALSE))=1,0,VLOOKUP(R121,K46:Q55,7,FALSE))</f>
        <v>0</v>
      </c>
      <c r="X121" s="1139">
        <f>IF(1*ISERROR(VLOOKUP(R121,M46:Q55,5,FALSE))=1,0,VLOOKUP(R121,M46:Q55,5,FALSE))</f>
        <v>0</v>
      </c>
      <c r="Y121" s="1139">
        <f t="shared" si="24"/>
        <v>0</v>
      </c>
      <c r="Z121" s="1139">
        <f t="shared" si="7"/>
        <v>0</v>
      </c>
      <c r="AA121" s="1139">
        <f>IF(Z121=0,35,_xlfn.RANK.EQ(Z121,Z98:Z132))</f>
        <v>35</v>
      </c>
      <c r="AB121" s="1139">
        <f>IF(AA121=35,35,AA121+COUNTIF(AA$98:AA120,AA121)/COUNTIF(AA$98:AA$132,AA121))</f>
        <v>35</v>
      </c>
      <c r="AC121" s="1139">
        <f t="shared" si="8"/>
        <v>13</v>
      </c>
      <c r="AD121" s="1139" t="s">
        <v>413</v>
      </c>
      <c r="AE121" s="1139">
        <f>IF(1*ISERROR(VLOOKUP(R121,C56:Q65,15,FALSE)-10)=1,0,VLOOKUP(R121,C56:Q65,15,FALSE)-10)</f>
        <v>0</v>
      </c>
      <c r="AF121" s="1139">
        <f>IF(1*ISERROR(VLOOKUP(R121,E56:Q65,13,FALSE)-10)=1,0,VLOOKUP(R121,E56:Q65,13,FALSE)-10)</f>
        <v>0</v>
      </c>
      <c r="AG121" s="1139">
        <f>IF(1*ISERROR(VLOOKUP(R121,G56:Q65,11,FALSE)-10)=1,0,VLOOKUP(R121,G56:Q65,11,FALSE)-10)</f>
        <v>0</v>
      </c>
      <c r="AH121" s="1139">
        <f>IF(1*ISERROR(VLOOKUP(R121,I56:Q65,9,FALSE)-10)=1,0,VLOOKUP(R121,I56:Q65,9,FALSE)-10)</f>
        <v>0</v>
      </c>
      <c r="AI121" s="1139">
        <f>IF(1*ISERROR(VLOOKUP(R121,K56:Q65,7,FALSE)-10)=1,0,VLOOKUP(R121,K56:Q65,7,FALSE)-10)</f>
        <v>0</v>
      </c>
      <c r="AJ121" s="1139">
        <f>IF(1*ISERROR(VLOOKUP(R121,M56:Q65,5,FALSE)-10)=1,0,VLOOKUP(R121,M56:Q65,5,FALSE)-10)</f>
        <v>0</v>
      </c>
      <c r="AK121" s="1139">
        <f t="shared" si="17"/>
        <v>0</v>
      </c>
      <c r="AL121" s="1139">
        <f t="shared" si="15"/>
        <v>0</v>
      </c>
      <c r="AM121" s="1139">
        <f>IF(AL121=0,35,_xlfn.RANK.EQ(AL121,AL98:AL132))</f>
        <v>35</v>
      </c>
      <c r="AN121" s="1139">
        <f>IF(AM121=35,35,AM121+COUNTIF(AM$98:AM120,AM121)/COUNTIF(AM$98:AM$132,AM121))</f>
        <v>35</v>
      </c>
      <c r="AO121" s="1139">
        <f t="shared" si="9"/>
        <v>12</v>
      </c>
      <c r="AP121" s="1139" t="s">
        <v>413</v>
      </c>
      <c r="AQ121" s="1139">
        <f>IF(1*ISERROR(VLOOKUP(R121,C66:Q75,15,FALSE)-20)=1,0,VLOOKUP(R121,C66:Q75,15,FALSE)-20)</f>
        <v>0</v>
      </c>
      <c r="AR121" s="1139">
        <f>IF(1*ISERROR(VLOOKUP(R121,E66:Q75,13,FALSE)-20)=1,0,VLOOKUP(R121,E66:Q75,13,FALSE)-20)</f>
        <v>0</v>
      </c>
      <c r="AS121" s="1139">
        <f>IF(1*ISERROR(VLOOKUP(R121,G66:Q75,11,FALSE)-20)=1,0,VLOOKUP(R121,G66:Q75,11,FALSE)-20)</f>
        <v>0</v>
      </c>
      <c r="AT121" s="1139">
        <f>IF(1*ISERROR(VLOOKUP(R121,I66:Q75,9,FALSE)-20)=1,0,VLOOKUP(R121,I66:Q75,9,FALSE)-20)</f>
        <v>0</v>
      </c>
      <c r="AU121" s="1139">
        <f>IF(1*ISERROR(VLOOKUP(R121,K66:Q75,7,FALSE)-20)=1,0,VLOOKUP(R121,K66:Q75,7,FALSE)-20)</f>
        <v>0</v>
      </c>
      <c r="AV121" s="1139">
        <f>IF(1*ISERROR(VLOOKUP(R121,M66:Q75,5,FALSE)-20)=1,0,VLOOKUP(R121,M66:Q75,5,FALSE)-20)</f>
        <v>0</v>
      </c>
      <c r="AW121" s="1139">
        <f t="shared" si="16"/>
        <v>0</v>
      </c>
      <c r="AX121" s="1139">
        <f t="shared" si="10"/>
        <v>0</v>
      </c>
      <c r="AY121" s="1139">
        <f>IF(AX121=0,35,_xlfn.RANK.EQ(AX121,AX98:AX132))</f>
        <v>35</v>
      </c>
      <c r="AZ121" s="1139">
        <f>IF(AY121=35,35,AY121+COUNTIF(AY$98:AY120,AY121)/COUNTIF(AY$98:AY$132,AY121))</f>
        <v>35</v>
      </c>
      <c r="BA121" s="1139">
        <f t="shared" si="11"/>
        <v>13</v>
      </c>
      <c r="BB121" s="1139" t="s">
        <v>413</v>
      </c>
      <c r="BC121" s="1139">
        <f>IF(1*ISERROR(VLOOKUP(R121,C76:Q85,15,FALSE)-30)=1,0,VLOOKUP(R121,C76:Q85,15,FALSE)-30)</f>
        <v>0</v>
      </c>
      <c r="BD121" s="1139">
        <f>IF(1*ISERROR(VLOOKUP(R121,E76:Q85,13,FALSE)-30)=1,0,VLOOKUP(R121,E76:Q85,13,FALSE)-30)</f>
        <v>0</v>
      </c>
      <c r="BE121" s="1139">
        <f>IF(1*ISERROR(VLOOKUP(R121,G76:Q85,11,FALSE)-30)=1,0,VLOOKUP(R121,G76:Q85,11,FALSE)-30)</f>
        <v>0</v>
      </c>
      <c r="BF121" s="1139">
        <f>IF(1*ISERROR(VLOOKUP(R121,I76:Q85,9,FALSE)-30)=1,0,VLOOKUP(R121,I76:Q85,9,FALSE)-30)</f>
        <v>0</v>
      </c>
      <c r="BG121" s="1139">
        <f>IF(1*ISERROR(VLOOKUP(R121,K76:Q85,7,FALSE)-30)=1,0,VLOOKUP(R121,K76:Q85,7,FALSE)-30)</f>
        <v>0</v>
      </c>
      <c r="BH121" s="1139">
        <f>IF(1*ISERROR(VLOOKUP(R121,M76:Q85,5,FALSE)-30)=1,0,VLOOKUP(R121,M76:Q85,5,FALSE)-30)</f>
        <v>0</v>
      </c>
      <c r="BI121" s="1139">
        <f>IF(1*ISERROR(VLOOKUP(R121,M77:R86,5,FALSE)-30)=1,0,VLOOKUP(R121,M77:R86,5,FALSE)-30)</f>
        <v>0</v>
      </c>
      <c r="BJ121" s="1139">
        <f t="shared" si="18"/>
        <v>0</v>
      </c>
      <c r="BK121" s="1139">
        <f t="shared" si="12"/>
        <v>35</v>
      </c>
      <c r="BL121" s="1139">
        <f>IF(BK121=35,35,BK121+COUNTIF(BK$98:BK120,BK121)/COUNTIF(BK$98:BK$132,BK121))</f>
        <v>35</v>
      </c>
      <c r="BM121" s="1139">
        <f t="shared" si="13"/>
        <v>13</v>
      </c>
      <c r="BN121" s="1139" t="s">
        <v>413</v>
      </c>
      <c r="BO121" s="1139">
        <f>IF(1*ISERROR(VLOOKUP(R121,C86:Q95,15,FALSE)-40)=1,0,VLOOKUP(R121,C86:Q95,15,FALSE)-40)</f>
        <v>0</v>
      </c>
      <c r="BP121" s="1139">
        <f>IF(1*ISERROR(VLOOKUP(R121,E86:Q95,13,FALSE)-40)=1,0,VLOOKUP(R121,E86:Q95,13,FALSE)-40)</f>
        <v>0</v>
      </c>
      <c r="BQ121" s="1139">
        <f>IF(1*ISERROR(VLOOKUP(R121,G86:Q95,11,FALSE)-40)=1,0,VLOOKUP(R121,G86:Q95,11,FALSE)-40)</f>
        <v>0</v>
      </c>
      <c r="BR121" s="1139">
        <f>IF(1*ISERROR(VLOOKUP(R121,I86:Q95,9,FALSE)-40)=1,0,VLOOKUP(R121,I86:Q95,9,FALSE)-40)</f>
        <v>0</v>
      </c>
      <c r="BS121" s="1139">
        <f>IF(1*ISERROR(VLOOKUP(R121,K86:Q95,7,FALSE)-40)=1,0,VLOOKUP(R121,K86:Q95,7,FALSE)-40)</f>
        <v>0</v>
      </c>
      <c r="BT121" s="1139">
        <f>IF(1*ISERROR(VLOOKUP(R121,M86:Q95,5,FALSE)-40)=1,0,VLOOKUP(R121,M86:Q95,5,FALSE)-40)</f>
        <v>0</v>
      </c>
      <c r="BU121" s="1139">
        <f t="shared" ref="BU121:BU132" si="26">IF(1*ISERROR(VLOOKUP(R121,M97:R106,5,FALSE)-40)=1,0,VLOOKUP(R121,M97:R106,5,FALSE)-40)</f>
        <v>0</v>
      </c>
      <c r="BV121" s="1139">
        <f t="shared" si="19"/>
        <v>0</v>
      </c>
      <c r="BW121" s="1139">
        <f>IF(BV121=0,35,_xlfn.RANK.EQ(BV121,BV98:BV132))</f>
        <v>35</v>
      </c>
      <c r="BX121" s="1139">
        <f>IF(BW121=35,35,BW121+COUNTIF(BW$98:BW120,BW121)/COUNTIF(BW$98:BW$132,BW121))</f>
        <v>35</v>
      </c>
      <c r="BY121" s="1139">
        <f t="shared" si="14"/>
        <v>11</v>
      </c>
      <c r="BZ121" s="1139" t="s">
        <v>413</v>
      </c>
      <c r="CA121" s="1098"/>
      <c r="CB121" s="1098"/>
      <c r="CC121" s="839"/>
    </row>
    <row r="122" spans="17:81" s="1086" customFormat="1">
      <c r="Q122" s="1138">
        <f t="shared" si="6"/>
        <v>25</v>
      </c>
      <c r="R122" s="1139" t="s">
        <v>393</v>
      </c>
      <c r="S122" s="1139">
        <f>IF(1*ISERROR(VLOOKUP(R122,C46:Q55,15,FALSE))=1,0,VLOOKUP(R122,C46:Q55,15,FALSE))</f>
        <v>0</v>
      </c>
      <c r="T122" s="1139">
        <f>IF(1*ISERROR(VLOOKUP(R122,E46:Q55,13,FALSE))=1,0,VLOOKUP(R122,E46:Q55,13,FALSE))</f>
        <v>0</v>
      </c>
      <c r="U122" s="1139">
        <f>IF(1*ISERROR(VLOOKUP(R122,G46:Q55,11,FALSE))=1,0,VLOOKUP(R122,G46:Q55,11,FALSE))</f>
        <v>0</v>
      </c>
      <c r="V122" s="1139">
        <f>IF(1*ISERROR(VLOOKUP(R122,I46:Q55,9,FALSE))=1,0,VLOOKUP(R122,I46:Q55,9,FALSE))</f>
        <v>0</v>
      </c>
      <c r="W122" s="1139">
        <f>IF(1*ISERROR(VLOOKUP(R122,K46:Q55,7,FALSE))=1,0,VLOOKUP(R122,K46:Q55,7,FALSE))</f>
        <v>0</v>
      </c>
      <c r="X122" s="1139">
        <f>IF(1*ISERROR(VLOOKUP(R122,M46:Q55,5,FALSE))=1,0,VLOOKUP(R122,M46:Q55,5,FALSE))</f>
        <v>0</v>
      </c>
      <c r="Y122" s="1139">
        <f>IF(1*ISERROR(VLOOKUP(R122,M46:Q56,5,FALSE))=1,0,VLOOKUP(R122,M46:Q56,5,FALSE))</f>
        <v>0</v>
      </c>
      <c r="Z122" s="1139">
        <f t="shared" si="7"/>
        <v>0</v>
      </c>
      <c r="AA122" s="1139">
        <f>IF(Z122=0,35,_xlfn.RANK.EQ(Z122,Z98:Z132))</f>
        <v>35</v>
      </c>
      <c r="AB122" s="1139">
        <f>IF(AA122=35,35,AA122+COUNTIF(AA$98:AA121,AA122)/COUNTIF(AA$98:AA$132,AA122))</f>
        <v>35</v>
      </c>
      <c r="AC122" s="1139">
        <f t="shared" si="8"/>
        <v>13</v>
      </c>
      <c r="AD122" s="1139" t="s">
        <v>393</v>
      </c>
      <c r="AE122" s="1139">
        <f>IF(1*ISERROR(VLOOKUP(R122,C56:Q65,15,FALSE)-10)=1,0,VLOOKUP(R122,C56:Q65,15,FALSE)-10)</f>
        <v>0</v>
      </c>
      <c r="AF122" s="1139">
        <f>IF(1*ISERROR(VLOOKUP(R122,E56:Q65,13,FALSE)-10)=1,0,VLOOKUP(R122,E56:Q65,13,FALSE)-10)</f>
        <v>0</v>
      </c>
      <c r="AG122" s="1139">
        <f>IF(1*ISERROR(VLOOKUP(R122,G56:Q65,11,FALSE)-10)=1,0,VLOOKUP(R122,G56:Q65,11,FALSE)-10)</f>
        <v>0</v>
      </c>
      <c r="AH122" s="1139">
        <f>IF(1*ISERROR(VLOOKUP(R122,I56:Q65,9,FALSE)-10)=1,0,VLOOKUP(R122,I56:Q65,9,FALSE)-10)</f>
        <v>0</v>
      </c>
      <c r="AI122" s="1139">
        <f>IF(1*ISERROR(VLOOKUP(R122,K56:Q65,7,FALSE)-10)=1,0,VLOOKUP(R122,K56:Q65,7,FALSE)-10)</f>
        <v>10</v>
      </c>
      <c r="AJ122" s="1139">
        <f>IF(1*ISERROR(VLOOKUP(R122,M57:Q66,5,FALSE)-10)=1,0,VLOOKUP(R122,M57:Q66,5,FALSE)-10)</f>
        <v>9</v>
      </c>
      <c r="AK122" s="1139">
        <f t="shared" si="17"/>
        <v>0</v>
      </c>
      <c r="AL122" s="1139">
        <f t="shared" si="15"/>
        <v>19</v>
      </c>
      <c r="AM122" s="1139">
        <f>IF(AL122=0,35,_xlfn.RANK.EQ(AL122,AL98:AL132))</f>
        <v>8</v>
      </c>
      <c r="AN122" s="1139">
        <f>IF(AM122=35,35,AM122+COUNTIF(AM$98:AM121,AM122)/COUNTIF(AM$98:AM$132,AM122))</f>
        <v>8</v>
      </c>
      <c r="AO122" s="1139">
        <f t="shared" si="9"/>
        <v>8</v>
      </c>
      <c r="AP122" s="1139" t="s">
        <v>393</v>
      </c>
      <c r="AQ122" s="1139">
        <f>IF(1*ISERROR(VLOOKUP(R122,C66:Q75,15,FALSE)-20)=1,0,VLOOKUP(R122,C66:Q75,15,FALSE)-20)</f>
        <v>0</v>
      </c>
      <c r="AR122" s="1139">
        <f>IF(1*ISERROR(VLOOKUP(R122,E66:Q75,13,FALSE)-20)=1,0,VLOOKUP(R122,E66:Q75,13,FALSE)-20)</f>
        <v>0</v>
      </c>
      <c r="AS122" s="1139">
        <f>IF(1*ISERROR(VLOOKUP(R122,G66:Q75,11,FALSE)-20)=1,0,VLOOKUP(R122,G66:Q75,11,FALSE)-20)</f>
        <v>0</v>
      </c>
      <c r="AT122" s="1139">
        <f>IF(1*ISERROR(VLOOKUP(R122,I66:Q75,9,FALSE)-20)=1,0,VLOOKUP(R122,I66:Q75,9,FALSE)-20)</f>
        <v>0</v>
      </c>
      <c r="AU122" s="1139">
        <f>IF(1*ISERROR(VLOOKUP(R122,K66:Q75,7,FALSE)-20)=1,0,VLOOKUP(R122,K66:Q75,7,FALSE)-20)</f>
        <v>0</v>
      </c>
      <c r="AV122" s="1139">
        <f>IF(1*ISERROR(VLOOKUP(R122,M66:Q75,5,FALSE)-20)=1,0,VLOOKUP(R122,M66:Q75,5,FALSE)-20)</f>
        <v>0</v>
      </c>
      <c r="AW122" s="1139">
        <f t="shared" si="16"/>
        <v>0</v>
      </c>
      <c r="AX122" s="1139">
        <f t="shared" si="10"/>
        <v>0</v>
      </c>
      <c r="AY122" s="1139">
        <f>IF(AX122=0,35,_xlfn.RANK.EQ(AX122,AX98:AX132))</f>
        <v>35</v>
      </c>
      <c r="AZ122" s="1139">
        <f>IF(AY122=35,35,AY122+COUNTIF(AY$98:AY121,AY122)/COUNTIF(AY$98:AY$132,AY122))</f>
        <v>35</v>
      </c>
      <c r="BA122" s="1139">
        <f t="shared" si="11"/>
        <v>13</v>
      </c>
      <c r="BB122" s="1139" t="s">
        <v>393</v>
      </c>
      <c r="BC122" s="1139">
        <f>IF(1*ISERROR(VLOOKUP(R122,C76:Q85,15,FALSE)-30)=1,0,VLOOKUP(R122,C76:Q85,15,FALSE)-30)</f>
        <v>10</v>
      </c>
      <c r="BD122" s="1139">
        <f>IF(1*ISERROR(VLOOKUP(R122,E76:Q85,13,FALSE)-30)=1,0,VLOOKUP(R122,E76:Q85,13,FALSE)-30)</f>
        <v>10</v>
      </c>
      <c r="BE122" s="1139">
        <f>IF(1*ISERROR(VLOOKUP(R122,G76:Q85,11,FALSE)-30)=1,0,VLOOKUP(R122,G76:Q85,11,FALSE)-30)</f>
        <v>10</v>
      </c>
      <c r="BF122" s="1139">
        <f>IF(1*ISERROR(VLOOKUP(R122,I76:Q85,9,FALSE)-30)=1,0,VLOOKUP(R122,I76:Q85,9,FALSE)-30)</f>
        <v>0</v>
      </c>
      <c r="BG122" s="1139">
        <f>IF(1*ISERROR(VLOOKUP(R122,K76:Q85,7,FALSE)-30)=1,0,VLOOKUP(R122,K76:Q85,7,FALSE)-30)</f>
        <v>0</v>
      </c>
      <c r="BH122" s="1139">
        <f>IF(1*ISERROR(VLOOKUP(R122,M76:Q85,5,FALSE)-30)=1,0,VLOOKUP(R122,M76:Q85,5,FALSE)-30)</f>
        <v>0</v>
      </c>
      <c r="BI122" s="1139">
        <f>IF(1*ISERROR(VLOOKUP(R122,M78:R87,5,FALSE)-30)=1,0,VLOOKUP(R122,M78:R87,5,FALSE)-30)</f>
        <v>0</v>
      </c>
      <c r="BJ122" s="1139">
        <f>SUM(BC122:BI122)</f>
        <v>30</v>
      </c>
      <c r="BK122" s="1139">
        <f t="shared" si="12"/>
        <v>6</v>
      </c>
      <c r="BL122" s="1139">
        <f>IF(BK122=35,35,BK122+COUNTIF(BK$98:BK121,BK122)/COUNTIF(BK$98:BK$132,BK122))</f>
        <v>6</v>
      </c>
      <c r="BM122" s="1139">
        <f t="shared" si="13"/>
        <v>6</v>
      </c>
      <c r="BN122" s="1139" t="s">
        <v>393</v>
      </c>
      <c r="BO122" s="1139">
        <f>IF(1*ISERROR(VLOOKUP(R122,C86:Q95,15,FALSE)-40)=1,0,VLOOKUP(R122,C86:Q95,15,FALSE)-40)</f>
        <v>0</v>
      </c>
      <c r="BP122" s="1139">
        <f>IF(1*ISERROR(VLOOKUP(R122,E86:Q95,13,FALSE)-40)=1,0,VLOOKUP(R122,E86:Q95,13,FALSE)-40)</f>
        <v>0</v>
      </c>
      <c r="BQ122" s="1139">
        <f>IF(1*ISERROR(VLOOKUP(R122,G86:Q95,11,FALSE)-40)=1,0,VLOOKUP(R122,G86:Q95,11,FALSE)-40)</f>
        <v>0</v>
      </c>
      <c r="BR122" s="1139">
        <f>IF(1*ISERROR(VLOOKUP(R122,I86:Q95,9,FALSE)-40)=1,0,VLOOKUP(R122,I86:Q95,9,FALSE)-40)</f>
        <v>0</v>
      </c>
      <c r="BS122" s="1139">
        <f>IF(1*ISERROR(VLOOKUP(R122,K86:Q95,7,FALSE)-40)=1,0,VLOOKUP(R122,K86:Q95,7,FALSE)-40)</f>
        <v>0</v>
      </c>
      <c r="BT122" s="1139">
        <f>IF(1*ISERROR(VLOOKUP(R122,M86:Q95,5,FALSE)-40)=1,0,VLOOKUP(R122,M86:Q95,5,FALSE)-40)</f>
        <v>0</v>
      </c>
      <c r="BU122" s="1139">
        <f t="shared" si="26"/>
        <v>0</v>
      </c>
      <c r="BV122" s="1139">
        <f t="shared" si="19"/>
        <v>0</v>
      </c>
      <c r="BW122" s="1139">
        <f>IF(BV122=0,35,_xlfn.RANK.EQ(BV122,BV98:BV132))</f>
        <v>35</v>
      </c>
      <c r="BX122" s="1139">
        <f>IF(BW122=35,35,BW122+COUNTIF(BW$98:BW121,BW122)/COUNTIF(BW$98:BW$132,BW122))</f>
        <v>35</v>
      </c>
      <c r="BY122" s="1139">
        <f t="shared" si="14"/>
        <v>11</v>
      </c>
      <c r="BZ122" s="1139" t="s">
        <v>393</v>
      </c>
      <c r="CA122" s="1098"/>
      <c r="CB122" s="1098"/>
      <c r="CC122" s="839"/>
    </row>
    <row r="123" spans="17:81" s="1086" customFormat="1">
      <c r="Q123" s="1138">
        <f t="shared" si="6"/>
        <v>26</v>
      </c>
      <c r="R123" s="1139" t="s">
        <v>397</v>
      </c>
      <c r="S123" s="1139">
        <f>IF(1*ISERROR(VLOOKUP(R123,C46:Q55,15,FALSE))=1,0,VLOOKUP(R123,C46:Q55,15,FALSE))</f>
        <v>0</v>
      </c>
      <c r="T123" s="1139">
        <f>IF(1*ISERROR(VLOOKUP(R123,E46:Q55,13,FALSE))=1,0,VLOOKUP(R123,E46:Q55,13,FALSE))</f>
        <v>0</v>
      </c>
      <c r="U123" s="1139">
        <f>IF(1*ISERROR(VLOOKUP(R123,G46:Q55,11,FALSE))=1,0,VLOOKUP(R123,G46:Q55,11,FALSE))</f>
        <v>0</v>
      </c>
      <c r="V123" s="1139">
        <f>IF(1*ISERROR(VLOOKUP(R123,I46:Q55,9,FALSE))=1,0,VLOOKUP(R123,I46:Q55,9,FALSE))</f>
        <v>0</v>
      </c>
      <c r="W123" s="1139">
        <f>IF(1*ISERROR(VLOOKUP(R123,K46:Q55,7,FALSE))=1,0,VLOOKUP(R123,K46:Q55,7,FALSE))</f>
        <v>0</v>
      </c>
      <c r="X123" s="1139">
        <f>IF(1*ISERROR(VLOOKUP(R123,M46:Q55,5,FALSE))=1,0,VLOOKUP(R123,M46:Q55,5,FALSE))</f>
        <v>0</v>
      </c>
      <c r="Y123" s="1139">
        <f t="shared" si="24"/>
        <v>0</v>
      </c>
      <c r="Z123" s="1139">
        <f t="shared" si="7"/>
        <v>0</v>
      </c>
      <c r="AA123" s="1139">
        <f>IF(Z123=0,35,_xlfn.RANK.EQ(Z123,Z98:Z132))</f>
        <v>35</v>
      </c>
      <c r="AB123" s="1139">
        <f>IF(AA123=35,35,AA123+COUNTIF(AA$98:AA122,AA123)/COUNTIF(AA$98:AA$132,AA123))</f>
        <v>35</v>
      </c>
      <c r="AC123" s="1139">
        <f t="shared" si="8"/>
        <v>13</v>
      </c>
      <c r="AD123" s="1139" t="s">
        <v>397</v>
      </c>
      <c r="AE123" s="1139">
        <f>IF(1*ISERROR(VLOOKUP(R123,C56:Q65,15,FALSE)-10)=1,0,VLOOKUP(R123,C56:Q65,15,FALSE)-10)</f>
        <v>0</v>
      </c>
      <c r="AF123" s="1139">
        <f>IF(1*ISERROR(VLOOKUP(R123,E56:Q65,13,FALSE)-10)=1,0,VLOOKUP(R123,E56:Q65,13,FALSE)-10)</f>
        <v>0</v>
      </c>
      <c r="AG123" s="1139">
        <f>IF(1*ISERROR(VLOOKUP(R123,G56:Q65,11,FALSE)-10)=1,0,VLOOKUP(R123,G56:Q65,11,FALSE)-10)</f>
        <v>0</v>
      </c>
      <c r="AH123" s="1139">
        <f>IF(1*ISERROR(VLOOKUP(R123,I56:Q65,9,FALSE)-10)=1,0,VLOOKUP(R123,I56:Q65,9,FALSE)-10)</f>
        <v>0</v>
      </c>
      <c r="AI123" s="1139">
        <f>IF(1*ISERROR(VLOOKUP(R123,K56:Q65,7,FALSE)-10)=1,0,VLOOKUP(R123,K56:Q65,7,FALSE)-10)</f>
        <v>0</v>
      </c>
      <c r="AJ123" s="1139">
        <f>IF(1*ISERROR(VLOOKUP(R123,M56:Q65,5,FALSE)-10)=1,0,VLOOKUP(R123,M56:Q65,5,FALSE)-10)</f>
        <v>0</v>
      </c>
      <c r="AK123" s="1139">
        <f t="shared" si="17"/>
        <v>0</v>
      </c>
      <c r="AL123" s="1139">
        <f t="shared" si="15"/>
        <v>0</v>
      </c>
      <c r="AM123" s="1139">
        <f>IF(AL123=0,35,_xlfn.RANK.EQ(AL123,AL98:AL132))</f>
        <v>35</v>
      </c>
      <c r="AN123" s="1139">
        <f>IF(AM123=35,35,AM123+COUNTIF(AM$98:AM122,AM123)/COUNTIF(AM$98:AM$132,AM123))</f>
        <v>35</v>
      </c>
      <c r="AO123" s="1139">
        <f t="shared" si="9"/>
        <v>12</v>
      </c>
      <c r="AP123" s="1139" t="s">
        <v>397</v>
      </c>
      <c r="AQ123" s="1139">
        <f>IF(1*ISERROR(VLOOKUP(R123,C66:Q75,15,FALSE)-20)=1,0,VLOOKUP(R123,C66:Q75,15,FALSE)-20)</f>
        <v>0</v>
      </c>
      <c r="AR123" s="1139">
        <f>IF(1*ISERROR(VLOOKUP(R123,E66:Q75,13,FALSE)-20)=1,0,VLOOKUP(R123,E66:Q75,13,FALSE)-20)</f>
        <v>0</v>
      </c>
      <c r="AS123" s="1139">
        <f>IF(1*ISERROR(VLOOKUP(R123,G66:Q75,11,FALSE)-20)=1,0,VLOOKUP(R123,G66:Q75,11,FALSE)-20)</f>
        <v>0</v>
      </c>
      <c r="AT123" s="1139">
        <f>IF(1*ISERROR(VLOOKUP(R123,I66:Q75,9,FALSE)-20)=1,0,VLOOKUP(R123,I66:Q75,9,FALSE)-20)</f>
        <v>0</v>
      </c>
      <c r="AU123" s="1139">
        <f>IF(1*ISERROR(VLOOKUP(R123,K66:Q75,7,FALSE)-20)=1,0,VLOOKUP(R123,K66:Q75,7,FALSE)-20)</f>
        <v>0</v>
      </c>
      <c r="AV123" s="1139">
        <f>IF(1*ISERROR(VLOOKUP(R123,M66:Q75,5,FALSE)-20)=1,0,VLOOKUP(R123,M66:Q75,5,FALSE)-20)</f>
        <v>0</v>
      </c>
      <c r="AW123" s="1139">
        <f t="shared" si="16"/>
        <v>0</v>
      </c>
      <c r="AX123" s="1139">
        <f t="shared" si="10"/>
        <v>0</v>
      </c>
      <c r="AY123" s="1139">
        <f>IF(AX123=0,35,_xlfn.RANK.EQ(AX123,AX98:AX132))</f>
        <v>35</v>
      </c>
      <c r="AZ123" s="1139">
        <f>IF(AY123=35,35,AY123+COUNTIF(AY$98:AY122,AY123)/COUNTIF(AY$98:AY$132,AY123))</f>
        <v>35</v>
      </c>
      <c r="BA123" s="1139">
        <f t="shared" si="11"/>
        <v>13</v>
      </c>
      <c r="BB123" s="1139" t="s">
        <v>397</v>
      </c>
      <c r="BC123" s="1139">
        <f>IF(1*ISERROR(VLOOKUP(R123,C76:Q85,15,FALSE)-30)=1,0,VLOOKUP(R123,C76:Q85,15,FALSE)-30)</f>
        <v>4</v>
      </c>
      <c r="BD123" s="1139">
        <f>IF(1*ISERROR(VLOOKUP(R123,E76:Q85,13,FALSE)-30)=1,0,VLOOKUP(R123,E76:Q85,13,FALSE)-30)</f>
        <v>4</v>
      </c>
      <c r="BE123" s="1139">
        <f>IF(1*ISERROR(VLOOKUP(R123,G76:Q85,11,FALSE)-30)=1,0,VLOOKUP(R123,G76:Q85,11,FALSE)-30)</f>
        <v>5</v>
      </c>
      <c r="BF123" s="1139">
        <f>IF(1*ISERROR(VLOOKUP(R123,I76:Q85,9,FALSE)-30)=1,0,VLOOKUP(R123,I76:Q85,9,FALSE)-30)</f>
        <v>5</v>
      </c>
      <c r="BG123" s="1139">
        <f>IF(1*ISERROR(VLOOKUP(R123,K76:Q85,7,FALSE)-30)=1,0,VLOOKUP(R123,K76:Q85,7,FALSE)-30)</f>
        <v>5</v>
      </c>
      <c r="BH123" s="1139">
        <f>IF(1*ISERROR(VLOOKUP(R123,M76:Q85,5,FALSE)-30)=1,0,VLOOKUP(R123,M76:Q85,5,FALSE)-30)</f>
        <v>5</v>
      </c>
      <c r="BI123" s="1139">
        <f>IF(1*ISERROR(VLOOKUP(R123,M79:R88,5,FALSE)-30)=1,0,VLOOKUP(R123,M79:R88,5,FALSE)-30)</f>
        <v>5</v>
      </c>
      <c r="BJ123" s="1139">
        <f t="shared" si="18"/>
        <v>28</v>
      </c>
      <c r="BK123" s="1139">
        <f t="shared" si="12"/>
        <v>7</v>
      </c>
      <c r="BL123" s="1139">
        <f>IF(BK123=35,35,BK123+COUNTIF(BK$98:BK122,BK123)/COUNTIF(BK$98:BK$132,BK123))</f>
        <v>7.5</v>
      </c>
      <c r="BM123" s="1139">
        <f t="shared" si="13"/>
        <v>8</v>
      </c>
      <c r="BN123" s="1139" t="s">
        <v>397</v>
      </c>
      <c r="BO123" s="1139">
        <f>IF(1*ISERROR(VLOOKUP(R123,C86:Q95,15,FALSE)-40)=1,0,VLOOKUP(R123,C86:Q95,15,FALSE)-40)</f>
        <v>0</v>
      </c>
      <c r="BP123" s="1139">
        <f>IF(1*ISERROR(VLOOKUP(R123,E86:Q95,13,FALSE)-40)=1,0,VLOOKUP(R123,E86:Q95,13,FALSE)-40)</f>
        <v>0</v>
      </c>
      <c r="BQ123" s="1139">
        <f>IF(1*ISERROR(VLOOKUP(R123,G86:Q95,11,FALSE)-40)=1,0,VLOOKUP(R123,G86:Q95,11,FALSE)-40)</f>
        <v>0</v>
      </c>
      <c r="BR123" s="1139">
        <f>IF(1*ISERROR(VLOOKUP(R123,I86:Q95,9,FALSE)-40)=1,0,VLOOKUP(R123,I86:Q95,9,FALSE)-40)</f>
        <v>0</v>
      </c>
      <c r="BS123" s="1139">
        <f>IF(1*ISERROR(VLOOKUP(R123,K86:Q95,7,FALSE)-40)=1,0,VLOOKUP(R123,K86:Q95,7,FALSE)-40)</f>
        <v>0</v>
      </c>
      <c r="BT123" s="1139">
        <f>IF(1*ISERROR(VLOOKUP(R123,M86:Q95,5,FALSE)-40)=1,0,VLOOKUP(R123,M86:Q95,5,FALSE)-40)</f>
        <v>0</v>
      </c>
      <c r="BU123" s="1139">
        <f t="shared" si="26"/>
        <v>0</v>
      </c>
      <c r="BV123" s="1139">
        <f t="shared" si="19"/>
        <v>0</v>
      </c>
      <c r="BW123" s="1139">
        <f>IF(BV123=0,35,_xlfn.RANK.EQ(BV123,BV98:BV132))</f>
        <v>35</v>
      </c>
      <c r="BX123" s="1139">
        <f>IF(BW123=35,35,BW123+COUNTIF(BW$98:BW122,BW123)/COUNTIF(BW$98:BW$132,BW123))</f>
        <v>35</v>
      </c>
      <c r="BY123" s="1139">
        <f t="shared" si="14"/>
        <v>11</v>
      </c>
      <c r="BZ123" s="1139" t="s">
        <v>397</v>
      </c>
      <c r="CA123" s="1098"/>
      <c r="CB123" s="1098"/>
      <c r="CC123" s="839"/>
    </row>
    <row r="124" spans="17:81" s="1086" customFormat="1">
      <c r="Q124" s="1138">
        <f t="shared" si="6"/>
        <v>27</v>
      </c>
      <c r="R124" s="1139" t="s">
        <v>384</v>
      </c>
      <c r="S124" s="1139">
        <f>IF(1*ISERROR(VLOOKUP(R124,C46:Q55,15,FALSE))=1,0,VLOOKUP(R124,C46:Q55,15,FALSE))</f>
        <v>7</v>
      </c>
      <c r="T124" s="1139">
        <f>IF(1*ISERROR(VLOOKUP(R124,E46:Q55,13,FALSE))=1,0,VLOOKUP(R124,E46:Q55,13,FALSE))</f>
        <v>7</v>
      </c>
      <c r="U124" s="1139">
        <f>IF(1*ISERROR(VLOOKUP(R124,G46:Q55,11,FALSE))=1,0,VLOOKUP(R124,G46:Q55,11,FALSE))</f>
        <v>7</v>
      </c>
      <c r="V124" s="1139">
        <f>IF(1*ISERROR(VLOOKUP(R124,I46:Q55,9,FALSE))=1,0,VLOOKUP(R124,I46:Q55,9,FALSE))</f>
        <v>7</v>
      </c>
      <c r="W124" s="1139">
        <f>IF(1*ISERROR(VLOOKUP(R124,K46:Q55,7,FALSE))=1,0,VLOOKUP(R124,K46:Q55,7,FALSE))</f>
        <v>7</v>
      </c>
      <c r="X124" s="1139">
        <f>IF(1*ISERROR(VLOOKUP(R124,M46:Q55,5,FALSE))=1,0,VLOOKUP(R124,M46:Q55,5,FALSE))</f>
        <v>7</v>
      </c>
      <c r="Y124" s="1139">
        <f>IF(1*ISERROR(VLOOKUP(R124,M46:Q55,5,FALSE))=1,0,VLOOKUP(R124,M46:Q55,5,FALSE))</f>
        <v>7</v>
      </c>
      <c r="Z124" s="1139">
        <f t="shared" si="7"/>
        <v>42</v>
      </c>
      <c r="AA124" s="1139">
        <f>IF(Z124=0,35,_xlfn.RANK.EQ(Z124,Z98:Z132))</f>
        <v>2</v>
      </c>
      <c r="AB124" s="1139">
        <f>IF(AA124=35,35,AA124+COUNTIF(AA$98:AA123,AA124)/COUNTIF(AA$98:AA$132,AA124))</f>
        <v>2</v>
      </c>
      <c r="AC124" s="1139">
        <f t="shared" si="8"/>
        <v>2</v>
      </c>
      <c r="AD124" s="1139" t="s">
        <v>384</v>
      </c>
      <c r="AE124" s="1139">
        <f>IF(1*ISERROR(VLOOKUP(R124,C56:Q65,15,FALSE)-10)=1,0,VLOOKUP(R124,C56:Q65,15,FALSE)-10)</f>
        <v>0</v>
      </c>
      <c r="AF124" s="1139">
        <f>IF(1*ISERROR(VLOOKUP(R124,E56:Q65,13,FALSE)-10)=1,0,VLOOKUP(R124,E56:Q65,13,FALSE)-10)</f>
        <v>0</v>
      </c>
      <c r="AG124" s="1139">
        <f>IF(1*ISERROR(VLOOKUP(R124,G56:Q65,11,FALSE)-10)=1,0,VLOOKUP(R124,G56:Q65,11,FALSE)-10)</f>
        <v>0</v>
      </c>
      <c r="AH124" s="1139">
        <f>IF(1*ISERROR(VLOOKUP(R124,I56:Q65,9,FALSE)-10)=1,0,VLOOKUP(R124,I56:Q65,9,FALSE)-10)</f>
        <v>0</v>
      </c>
      <c r="AI124" s="1139">
        <f>IF(1*ISERROR(VLOOKUP(R124,K56:Q65,7,FALSE)-10)=1,0,VLOOKUP(R124,K56:Q65,7,FALSE)-10)</f>
        <v>0</v>
      </c>
      <c r="AJ124" s="1139">
        <f>IF(1*ISERROR(VLOOKUP(R124,M56:Q65,5,FALSE)-10)=1,0,VLOOKUP(R124,M56:Q65,5,FALSE)-10)</f>
        <v>0</v>
      </c>
      <c r="AK124" s="1139">
        <f t="shared" si="17"/>
        <v>0</v>
      </c>
      <c r="AL124" s="1139">
        <f t="shared" si="15"/>
        <v>0</v>
      </c>
      <c r="AM124" s="1139">
        <f>IF(AL124=0,35,_xlfn.RANK.EQ(AL124,AL98:AL132))</f>
        <v>35</v>
      </c>
      <c r="AN124" s="1139">
        <f>IF(AM124=35,35,AM124+COUNTIF(AM$98:AM123,AM124)/COUNTIF(AM$98:AM$132,AM124))</f>
        <v>35</v>
      </c>
      <c r="AO124" s="1139">
        <f t="shared" si="9"/>
        <v>12</v>
      </c>
      <c r="AP124" s="1139" t="s">
        <v>384</v>
      </c>
      <c r="AQ124" s="1139">
        <f>IF(1*ISERROR(VLOOKUP(R124,C66:Q75,15,FALSE)-20)=1,0,VLOOKUP(R124,C66:Q75,15,FALSE)-20)</f>
        <v>0</v>
      </c>
      <c r="AR124" s="1139">
        <f>IF(1*ISERROR(VLOOKUP(R124,E66:Q75,13,FALSE)-20)=1,0,VLOOKUP(R124,E66:Q75,13,FALSE)-20)</f>
        <v>0</v>
      </c>
      <c r="AS124" s="1139">
        <f>IF(1*ISERROR(VLOOKUP(R124,G66:Q75,11,FALSE)-20)=1,0,VLOOKUP(R124,G66:Q75,11,FALSE)-20)</f>
        <v>0</v>
      </c>
      <c r="AT124" s="1139">
        <f>IF(1*ISERROR(VLOOKUP(R124,I66:Q75,9,FALSE)-20)=1,0,VLOOKUP(R124,I66:Q75,9,FALSE)-20)</f>
        <v>0</v>
      </c>
      <c r="AU124" s="1139">
        <f>IF(1*ISERROR(VLOOKUP(R124,K66:Q75,7,FALSE)-20)=1,0,VLOOKUP(R124,K66:Q75,7,FALSE)-20)</f>
        <v>0</v>
      </c>
      <c r="AV124" s="1139">
        <f>IF(1*ISERROR(VLOOKUP(R124,M66:Q75,5,FALSE)-20)=1,0,VLOOKUP(R124,M66:Q75,5,FALSE)-20)</f>
        <v>0</v>
      </c>
      <c r="AW124" s="1139">
        <f t="shared" si="16"/>
        <v>0</v>
      </c>
      <c r="AX124" s="1139">
        <f t="shared" si="10"/>
        <v>0</v>
      </c>
      <c r="AY124" s="1139">
        <f>IF(AX124=0,35,_xlfn.RANK.EQ(AX124,AX98:AX132))</f>
        <v>35</v>
      </c>
      <c r="AZ124" s="1139">
        <f>IF(AY124=35,35,AY124+COUNTIF(AY$98:AY123,AY124)/COUNTIF(AY$98:AY$132,AY124))</f>
        <v>35</v>
      </c>
      <c r="BA124" s="1139">
        <f t="shared" si="11"/>
        <v>13</v>
      </c>
      <c r="BB124" s="1139" t="s">
        <v>384</v>
      </c>
      <c r="BC124" s="1139">
        <f>IF(1*ISERROR(VLOOKUP(R124,C76:Q85,15,FALSE)-30)=1,0,VLOOKUP(R124,C76:Q85,15,FALSE)-30)</f>
        <v>0</v>
      </c>
      <c r="BD124" s="1139">
        <f>IF(1*ISERROR(VLOOKUP(R124,E76:Q85,13,FALSE)-30)=1,0,VLOOKUP(R124,E76:Q85,13,FALSE)-30)</f>
        <v>0</v>
      </c>
      <c r="BE124" s="1139">
        <f>IF(1*ISERROR(VLOOKUP(R124,G76:Q85,11,FALSE)-30)=1,0,VLOOKUP(R124,G76:Q85,11,FALSE)-30)</f>
        <v>0</v>
      </c>
      <c r="BF124" s="1139">
        <f>IF(1*ISERROR(VLOOKUP(R124,I76:Q85,9,FALSE)-30)=1,0,VLOOKUP(R124,I76:Q85,9,FALSE)-30)</f>
        <v>0</v>
      </c>
      <c r="BG124" s="1139">
        <f>IF(1*ISERROR(VLOOKUP(R124,K76:Q85,7,FALSE)-30)=1,0,VLOOKUP(R124,K76:Q85,7,FALSE)-30)</f>
        <v>0</v>
      </c>
      <c r="BH124" s="1139">
        <f>IF(1*ISERROR(VLOOKUP(R124,M76:Q85,5,FALSE)-30)=1,0,VLOOKUP(R124,M76:Q85,5,FALSE)-30)</f>
        <v>0</v>
      </c>
      <c r="BI124" s="1139">
        <f>IF(1*ISERROR(VLOOKUP(R124,M80:R89,5,FALSE)-30)=1,0,VLOOKUP(R124,M80:R89,5,FALSE)-30)</f>
        <v>0</v>
      </c>
      <c r="BJ124" s="1139">
        <f t="shared" si="18"/>
        <v>0</v>
      </c>
      <c r="BK124" s="1139">
        <f t="shared" si="12"/>
        <v>35</v>
      </c>
      <c r="BL124" s="1139">
        <f>IF(BK124=35,35,BK124+COUNTIF(BK$98:BK123,BK124)/COUNTIF(BK$98:BK$132,BK124))</f>
        <v>35</v>
      </c>
      <c r="BM124" s="1139">
        <f t="shared" si="13"/>
        <v>13</v>
      </c>
      <c r="BN124" s="1139" t="s">
        <v>384</v>
      </c>
      <c r="BO124" s="1139">
        <f>IF(1*ISERROR(VLOOKUP(R124,C86:Q95,15,FALSE)-40)=1,0,VLOOKUP(R124,C86:Q95,15,FALSE)-40)</f>
        <v>0</v>
      </c>
      <c r="BP124" s="1139">
        <f>IF(1*ISERROR(VLOOKUP(R124,E86:Q95,13,FALSE)-40)=1,0,VLOOKUP(R124,E86:Q95,13,FALSE)-40)</f>
        <v>0</v>
      </c>
      <c r="BQ124" s="1139">
        <f>IF(1*ISERROR(VLOOKUP(R124,G86:Q95,11,FALSE)-40)=1,0,VLOOKUP(R124,G86:Q95,11,FALSE)-40)</f>
        <v>0</v>
      </c>
      <c r="BR124" s="1139">
        <f>IF(1*ISERROR(VLOOKUP(R124,I86:Q95,9,FALSE)-40)=1,0,VLOOKUP(R124,I86:Q95,9,FALSE)-40)</f>
        <v>0</v>
      </c>
      <c r="BS124" s="1139">
        <f>IF(1*ISERROR(VLOOKUP(R124,K86:Q95,7,FALSE)-40)=1,0,VLOOKUP(R124,K86:Q95,7,FALSE)-40)</f>
        <v>0</v>
      </c>
      <c r="BT124" s="1139">
        <f>IF(1*ISERROR(VLOOKUP(R124,M86:Q95,5,FALSE)-40)=1,0,VLOOKUP(R124,M86:Q95,5,FALSE)-40)</f>
        <v>0</v>
      </c>
      <c r="BU124" s="1139">
        <f t="shared" si="26"/>
        <v>0</v>
      </c>
      <c r="BV124" s="1139">
        <f t="shared" si="19"/>
        <v>0</v>
      </c>
      <c r="BW124" s="1139">
        <f>IF(BV124=0,35,_xlfn.RANK.EQ(BV124,BV98:BV132))</f>
        <v>35</v>
      </c>
      <c r="BX124" s="1139">
        <f>IF(BW124=35,35,BW124+COUNTIF(BW$98:BW123,BW124)/COUNTIF(BW$98:BW$132,BW124))</f>
        <v>35</v>
      </c>
      <c r="BY124" s="1139">
        <f t="shared" si="14"/>
        <v>11</v>
      </c>
      <c r="BZ124" s="1139" t="s">
        <v>384</v>
      </c>
      <c r="CA124" s="1098"/>
      <c r="CB124" s="1098"/>
      <c r="CC124" s="839"/>
    </row>
    <row r="125" spans="17:81" s="1086" customFormat="1">
      <c r="Q125" s="1138">
        <f t="shared" si="6"/>
        <v>28</v>
      </c>
      <c r="R125" s="1139" t="s">
        <v>414</v>
      </c>
      <c r="S125" s="1139">
        <f>IF(1*ISERROR(VLOOKUP(R125,C46:Q55,15,FALSE))=1,0,VLOOKUP(R125,C46:Q55,15,FALSE))</f>
        <v>0</v>
      </c>
      <c r="T125" s="1139">
        <f>IF(1*ISERROR(VLOOKUP(R125,E46:Q55,13,FALSE))=1,0,VLOOKUP(R125,E46:Q55,13,FALSE))</f>
        <v>0</v>
      </c>
      <c r="U125" s="1139">
        <f>IF(1*ISERROR(VLOOKUP(R125,G46:Q55,11,FALSE))=1,0,VLOOKUP(R125,G46:Q55,11,FALSE))</f>
        <v>0</v>
      </c>
      <c r="V125" s="1139">
        <f>IF(1*ISERROR(VLOOKUP(R125,I46:Q55,9,FALSE))=1,0,VLOOKUP(R125,I46:Q55,9,FALSE))</f>
        <v>0</v>
      </c>
      <c r="W125" s="1139">
        <f>IF(1*ISERROR(VLOOKUP(R125,K46:Q55,7,FALSE))=1,0,VLOOKUP(R125,K46:Q55,7,FALSE))</f>
        <v>0</v>
      </c>
      <c r="X125" s="1139">
        <f>IF(1*ISERROR(VLOOKUP(R125,M46:Q55,5,FALSE))=1,0,VLOOKUP(R125,M46:Q55,5,FALSE))</f>
        <v>0</v>
      </c>
      <c r="Y125" s="1139">
        <f t="shared" ref="Y125:Y128" si="27">IF(1*ISERROR(VLOOKUP(R125,M47:Q56,5,FALSE))=1,0,VLOOKUP(R125,M47:Q56,5,FALSE))</f>
        <v>0</v>
      </c>
      <c r="Z125" s="1139">
        <f t="shared" si="7"/>
        <v>0</v>
      </c>
      <c r="AA125" s="1139">
        <f>IF(Z125=0,35,_xlfn.RANK.EQ(Z125,Z98:Z132))</f>
        <v>35</v>
      </c>
      <c r="AB125" s="1139">
        <f>IF(AA125=35,35,AA125+COUNTIF(AA$98:AA124,AA125)/COUNTIF(AA$98:AA$132,AA125))</f>
        <v>35</v>
      </c>
      <c r="AC125" s="1139">
        <f t="shared" si="8"/>
        <v>13</v>
      </c>
      <c r="AD125" s="1139" t="s">
        <v>414</v>
      </c>
      <c r="AE125" s="1139">
        <f>IF(1*ISERROR(VLOOKUP(R125,C56:Q65,15,FALSE)-10)=1,0,VLOOKUP(R125,C56:Q65,15,FALSE)-10)</f>
        <v>0</v>
      </c>
      <c r="AF125" s="1139">
        <f>IF(1*ISERROR(VLOOKUP(R125,E56:Q65,13,FALSE)-10)=1,0,VLOOKUP(R125,E56:Q65,13,FALSE)-10)</f>
        <v>0</v>
      </c>
      <c r="AG125" s="1139">
        <f>IF(1*ISERROR(VLOOKUP(R125,G56:Q65,11,FALSE)-10)=1,0,VLOOKUP(R125,G56:Q65,11,FALSE)-10)</f>
        <v>0</v>
      </c>
      <c r="AH125" s="1139">
        <f>IF(1*ISERROR(VLOOKUP(R125,I56:Q65,9,FALSE)-10)=1,0,VLOOKUP(R125,I56:Q65,9,FALSE)-10)</f>
        <v>0</v>
      </c>
      <c r="AI125" s="1139">
        <f>IF(1*ISERROR(VLOOKUP(R125,K56:Q65,7,FALSE)-10)=1,0,VLOOKUP(R125,K56:Q65,7,FALSE)-10)</f>
        <v>0</v>
      </c>
      <c r="AJ125" s="1139">
        <f>IF(1*ISERROR(VLOOKUP(R125,M56:Q65,5,FALSE)-10)=1,0,VLOOKUP(R125,M56:Q65,5,FALSE)-10)</f>
        <v>0</v>
      </c>
      <c r="AK125" s="1139">
        <f t="shared" si="17"/>
        <v>0</v>
      </c>
      <c r="AL125" s="1139">
        <f t="shared" si="15"/>
        <v>0</v>
      </c>
      <c r="AM125" s="1139">
        <f>IF(AL125=0,35,_xlfn.RANK.EQ(AL125,AL98:AL132))</f>
        <v>35</v>
      </c>
      <c r="AN125" s="1139">
        <f>IF(AM125=35,35,AM125+COUNTIF(AM$98:AM124,AM125)/COUNTIF(AM$98:AM$132,AM125))</f>
        <v>35</v>
      </c>
      <c r="AO125" s="1139">
        <f t="shared" si="9"/>
        <v>12</v>
      </c>
      <c r="AP125" s="1139" t="s">
        <v>414</v>
      </c>
      <c r="AQ125" s="1139">
        <f>IF(1*ISERROR(VLOOKUP(R125,C66:Q75,15,FALSE)-20)=1,0,VLOOKUP(R125,C66:Q75,15,FALSE)-20)</f>
        <v>0</v>
      </c>
      <c r="AR125" s="1139">
        <f>IF(1*ISERROR(VLOOKUP(R125,E66:Q75,13,FALSE)-20)=1,0,VLOOKUP(R125,E66:Q75,13,FALSE)-20)</f>
        <v>0</v>
      </c>
      <c r="AS125" s="1139">
        <f>IF(1*ISERROR(VLOOKUP(R125,G66:Q75,11,FALSE)-20)=1,0,VLOOKUP(R125,G66:Q75,11,FALSE)-20)</f>
        <v>0</v>
      </c>
      <c r="AT125" s="1139">
        <f>IF(1*ISERROR(VLOOKUP(R125,I66:Q75,9,FALSE)-20)=1,0,VLOOKUP(R125,I66:Q75,9,FALSE)-20)</f>
        <v>0</v>
      </c>
      <c r="AU125" s="1139">
        <f>IF(1*ISERROR(VLOOKUP(R125,K66:Q75,7,FALSE)-20)=1,0,VLOOKUP(R125,K66:Q75,7,FALSE)-20)</f>
        <v>0</v>
      </c>
      <c r="AV125" s="1139">
        <f>IF(1*ISERROR(VLOOKUP(R125,M66:Q75,5,FALSE)-20)=1,0,VLOOKUP(R125,M66:Q75,5,FALSE)-20)</f>
        <v>0</v>
      </c>
      <c r="AW125" s="1139">
        <f t="shared" si="16"/>
        <v>0</v>
      </c>
      <c r="AX125" s="1139">
        <f t="shared" si="10"/>
        <v>0</v>
      </c>
      <c r="AY125" s="1139">
        <f>IF(AX125=0,35,_xlfn.RANK.EQ(AX125,AX98:AX132))</f>
        <v>35</v>
      </c>
      <c r="AZ125" s="1139">
        <f>IF(AY125=35,35,AY125+COUNTIF(AY$98:AY124,AY125)/COUNTIF(AY$98:AY$132,AY125))</f>
        <v>35</v>
      </c>
      <c r="BA125" s="1139">
        <f t="shared" si="11"/>
        <v>13</v>
      </c>
      <c r="BB125" s="1139" t="s">
        <v>414</v>
      </c>
      <c r="BC125" s="1139">
        <f>IF(1*ISERROR(VLOOKUP(R125,C76:Q85,15,FALSE)-30)=1,0,VLOOKUP(R125,C76:Q85,15,FALSE)-30)</f>
        <v>0</v>
      </c>
      <c r="BD125" s="1139">
        <f>IF(1*ISERROR(VLOOKUP(R125,E76:Q85,13,FALSE)-30)=1,0,VLOOKUP(R125,E76:Q85,13,FALSE)-30)</f>
        <v>0</v>
      </c>
      <c r="BE125" s="1139">
        <f>IF(1*ISERROR(VLOOKUP(R125,G76:Q85,11,FALSE)-30)=1,0,VLOOKUP(R125,G76:Q85,11,FALSE)-30)</f>
        <v>0</v>
      </c>
      <c r="BF125" s="1139">
        <f>IF(1*ISERROR(VLOOKUP(R125,I76:Q85,9,FALSE)-30)=1,0,VLOOKUP(R125,I76:Q85,9,FALSE)-30)</f>
        <v>0</v>
      </c>
      <c r="BG125" s="1139">
        <f>IF(1*ISERROR(VLOOKUP(R125,K76:Q85,7,FALSE)-30)=1,0,VLOOKUP(R125,K76:Q85,7,FALSE)-30)</f>
        <v>0</v>
      </c>
      <c r="BH125" s="1139">
        <f>IF(1*ISERROR(VLOOKUP(R125,M76:Q85,5,FALSE)-30)=1,0,VLOOKUP(R125,M76:Q85,5,FALSE)-30)</f>
        <v>0</v>
      </c>
      <c r="BI125" s="1139">
        <f>IF(1*ISERROR(VLOOKUP(R125,M81:R90,5,FALSE)-30)=1,0,VLOOKUP(R125,M81:R90,5,FALSE)-30)</f>
        <v>0</v>
      </c>
      <c r="BJ125" s="1139">
        <f t="shared" si="18"/>
        <v>0</v>
      </c>
      <c r="BK125" s="1139">
        <f t="shared" si="12"/>
        <v>35</v>
      </c>
      <c r="BL125" s="1139">
        <f>IF(BK125=35,35,BK125+COUNTIF(BK$98:BK124,BK125)/COUNTIF(BK$98:BK$132,BK125))</f>
        <v>35</v>
      </c>
      <c r="BM125" s="1139">
        <f t="shared" si="13"/>
        <v>13</v>
      </c>
      <c r="BN125" s="1139" t="s">
        <v>414</v>
      </c>
      <c r="BO125" s="1139">
        <f>IF(1*ISERROR(VLOOKUP(R125,C86:Q95,15,FALSE)-40)=1,0,VLOOKUP(R125,C86:Q95,15,FALSE)-40)</f>
        <v>0</v>
      </c>
      <c r="BP125" s="1139">
        <f>IF(1*ISERROR(VLOOKUP(R125,E86:Q95,13,FALSE)-40)=1,0,VLOOKUP(R125,E86:Q95,13,FALSE)-40)</f>
        <v>0</v>
      </c>
      <c r="BQ125" s="1139">
        <f>IF(1*ISERROR(VLOOKUP(R125,G86:Q95,11,FALSE)-40)=1,0,VLOOKUP(R125,G86:Q95,11,FALSE)-40)</f>
        <v>0</v>
      </c>
      <c r="BR125" s="1139">
        <f>IF(1*ISERROR(VLOOKUP(R125,I86:Q95,9,FALSE)-40)=1,0,VLOOKUP(R125,I86:Q95,9,FALSE)-40)</f>
        <v>0</v>
      </c>
      <c r="BS125" s="1139">
        <f>IF(1*ISERROR(VLOOKUP(R125,K86:Q95,7,FALSE)-40)=1,0,VLOOKUP(R125,K86:Q95,7,FALSE)-40)</f>
        <v>0</v>
      </c>
      <c r="BT125" s="1139">
        <f>IF(1*ISERROR(VLOOKUP(R125,M86:Q95,5,FALSE)-40)=1,0,VLOOKUP(R125,M86:Q95,5,FALSE)-40)</f>
        <v>0</v>
      </c>
      <c r="BU125" s="1139">
        <f t="shared" si="26"/>
        <v>0</v>
      </c>
      <c r="BV125" s="1139">
        <f t="shared" si="19"/>
        <v>0</v>
      </c>
      <c r="BW125" s="1139">
        <f>IF(BV125=0,35,_xlfn.RANK.EQ(BV125,BV98:BV132))</f>
        <v>35</v>
      </c>
      <c r="BX125" s="1139">
        <f>IF(BW125=35,35,BW125+COUNTIF(BW$98:BW124,BW125)/COUNTIF(BW$98:BW$132,BW125))</f>
        <v>35</v>
      </c>
      <c r="BY125" s="1139">
        <f t="shared" si="14"/>
        <v>11</v>
      </c>
      <c r="BZ125" s="1139" t="s">
        <v>414</v>
      </c>
      <c r="CA125" s="1098"/>
      <c r="CB125" s="1098"/>
      <c r="CC125" s="839"/>
    </row>
    <row r="126" spans="17:81" s="1086" customFormat="1">
      <c r="Q126" s="1138">
        <f t="shared" si="6"/>
        <v>29</v>
      </c>
      <c r="R126" s="1139" t="s">
        <v>387</v>
      </c>
      <c r="S126" s="1139">
        <f>IF(1*ISERROR(VLOOKUP(R126,C46:Q55,15,FALSE))=1,0,VLOOKUP(R126,C46:Q55,15,FALSE))</f>
        <v>10</v>
      </c>
      <c r="T126" s="1139">
        <f>IF(1*ISERROR(VLOOKUP(R126,E46:Q55,13,FALSE))=1,0,VLOOKUP(R126,E46:Q55,13,FALSE))</f>
        <v>10</v>
      </c>
      <c r="U126" s="1139">
        <f>IF(1*ISERROR(VLOOKUP(R126,G46:Q55,11,FALSE))=1,0,VLOOKUP(R126,G46:Q55,11,FALSE))</f>
        <v>8</v>
      </c>
      <c r="V126" s="1139">
        <f>IF(1*ISERROR(VLOOKUP(R126,I46:Q55,9,FALSE))=1,0,VLOOKUP(R126,I46:Q55,9,FALSE))</f>
        <v>8</v>
      </c>
      <c r="W126" s="1139">
        <f>IF(1*ISERROR(VLOOKUP(R126,K46:Q55,7,FALSE))=1,0,VLOOKUP(R126,K46:Q55,7,FALSE))</f>
        <v>8</v>
      </c>
      <c r="X126" s="1139">
        <f>IF(1*ISERROR(VLOOKUP(R126,M46:Q55,5,FALSE))=1,0,VLOOKUP(R126,M46:Q55,5,FALSE))</f>
        <v>8</v>
      </c>
      <c r="Y126" s="1139">
        <f>IF(1*ISERROR(VLOOKUP(R126,M48:Q57,5,FALSE))=1,0,VLOOKUP(R126,M48:Q57,5,FALSE))</f>
        <v>8</v>
      </c>
      <c r="Z126" s="1139">
        <f t="shared" si="7"/>
        <v>52</v>
      </c>
      <c r="AA126" s="1139">
        <f>IF(Z126=0,35,_xlfn.RANK.EQ(Z126,Z98:Z132))</f>
        <v>1</v>
      </c>
      <c r="AB126" s="1139">
        <f>IF(AA126=35,35,AA126+COUNTIF(AA$98:AA125,AA126)/COUNTIF(AA$98:AA$132,AA126))</f>
        <v>1</v>
      </c>
      <c r="AC126" s="1139">
        <f t="shared" si="8"/>
        <v>1</v>
      </c>
      <c r="AD126" s="1139" t="s">
        <v>387</v>
      </c>
      <c r="AE126" s="1139">
        <f>IF(1*ISERROR(VLOOKUP(R126,C56:Q65,15,FALSE)-10)=1,0,VLOOKUP(R126,C56:Q65,15,FALSE)-10)</f>
        <v>0</v>
      </c>
      <c r="AF126" s="1139">
        <f>IF(1*ISERROR(VLOOKUP(R126,E56:Q65,13,FALSE)-10)=1,0,VLOOKUP(R126,E56:Q65,13,FALSE)-10)</f>
        <v>0</v>
      </c>
      <c r="AG126" s="1139">
        <f>IF(1*ISERROR(VLOOKUP(R126,G56:Q65,11,FALSE)-10)=1,0,VLOOKUP(R126,G56:Q65,11,FALSE)-10)</f>
        <v>0</v>
      </c>
      <c r="AH126" s="1139">
        <f>IF(1*ISERROR(VLOOKUP(R126,I56:Q65,9,FALSE)-10)=1,0,VLOOKUP(R126,I56:Q65,9,FALSE)-10)</f>
        <v>0</v>
      </c>
      <c r="AI126" s="1139">
        <f>IF(1*ISERROR(VLOOKUP(R126,K56:Q65,7,FALSE)-10)=1,0,VLOOKUP(R126,K56:Q65,7,FALSE)-10)</f>
        <v>0</v>
      </c>
      <c r="AJ126" s="1139">
        <f>IF(1*ISERROR(VLOOKUP(R126,M56:Q65,5,FALSE)-10)=1,0,VLOOKUP(R126,M56:Q65,5,FALSE)-10)</f>
        <v>0</v>
      </c>
      <c r="AK126" s="1139">
        <f t="shared" si="17"/>
        <v>0</v>
      </c>
      <c r="AL126" s="1139">
        <f t="shared" si="15"/>
        <v>0</v>
      </c>
      <c r="AM126" s="1139">
        <f>IF(AL126=0,35,_xlfn.RANK.EQ(AL126,AL98:AL132))</f>
        <v>35</v>
      </c>
      <c r="AN126" s="1139">
        <f>IF(AM126=35,35,AM126+COUNTIF(AM$98:AM125,AM126)/COUNTIF(AM$98:AM$132,AM126))</f>
        <v>35</v>
      </c>
      <c r="AO126" s="1139">
        <f t="shared" si="9"/>
        <v>12</v>
      </c>
      <c r="AP126" s="1139" t="s">
        <v>387</v>
      </c>
      <c r="AQ126" s="1139">
        <f>IF(1*ISERROR(VLOOKUP(R126,C66:Q75,15,FALSE)-20)=1,0,VLOOKUP(R126,C66:Q75,15,FALSE)-20)</f>
        <v>10</v>
      </c>
      <c r="AR126" s="1139">
        <f>IF(1*ISERROR(VLOOKUP(R126,E66:Q75,13,FALSE)-20)=1,0,VLOOKUP(R126,E66:Q75,13,FALSE)-20)</f>
        <v>10</v>
      </c>
      <c r="AS126" s="1139">
        <f>IF(1*ISERROR(VLOOKUP(R126,G66:Q75,11,FALSE)-20)=1,0,VLOOKUP(R126,G66:Q75,11,FALSE)-20)</f>
        <v>7</v>
      </c>
      <c r="AT126" s="1139">
        <f>IF(1*ISERROR(VLOOKUP(R126,I66:Q75,9,FALSE)-20)=1,0,VLOOKUP(R126,I66:Q75,9,FALSE)-20)</f>
        <v>8</v>
      </c>
      <c r="AU126" s="1139">
        <f>IF(1*ISERROR(VLOOKUP(R126,K66:Q75,7,FALSE)-20)=1,0,VLOOKUP(R126,K66:Q75,7,FALSE)-20)</f>
        <v>9</v>
      </c>
      <c r="AV126" s="1139">
        <f>IF(1*ISERROR(VLOOKUP(R126,M66:Q75,5,FALSE)-20)=1,0,VLOOKUP(R126,M66:Q75,5,FALSE)-20)</f>
        <v>10</v>
      </c>
      <c r="AW126" s="1139">
        <f t="shared" si="16"/>
        <v>0</v>
      </c>
      <c r="AX126" s="1139">
        <f t="shared" si="10"/>
        <v>54</v>
      </c>
      <c r="AY126" s="1139">
        <f>IF(AX126=0,35,_xlfn.RANK.EQ(AX126,AX98:AX132))</f>
        <v>1</v>
      </c>
      <c r="AZ126" s="1139">
        <f>IF(AY126=35,35,AY126+COUNTIF(AY$98:AY125,AY126)/COUNTIF(AY$98:AY$132,AY126))</f>
        <v>1</v>
      </c>
      <c r="BA126" s="1139">
        <f t="shared" si="11"/>
        <v>1</v>
      </c>
      <c r="BB126" s="1139" t="s">
        <v>387</v>
      </c>
      <c r="BC126" s="1139">
        <f>IF(1*ISERROR(VLOOKUP(R126,C76:Q85,15,FALSE)-30)=1,0,VLOOKUP(R126,C76:Q85,15,FALSE)-30)</f>
        <v>9</v>
      </c>
      <c r="BD126" s="1139">
        <f>IF(1*ISERROR(VLOOKUP(R126,E76:Q85,13,FALSE)-30)=1,0,VLOOKUP(R126,E76:Q85,13,FALSE)-30)</f>
        <v>9</v>
      </c>
      <c r="BE126" s="1139">
        <f>IF(1*ISERROR(VLOOKUP(R126,G76:Q85,11,FALSE)-30)=1,0,VLOOKUP(R126,G76:Q85,11,FALSE)-30)</f>
        <v>0</v>
      </c>
      <c r="BF126" s="1139">
        <f>IF(1*ISERROR(VLOOKUP(R126,I76:Q85,9,FALSE)-30)=1,0,VLOOKUP(R126,I76:Q85,9,FALSE)-30)</f>
        <v>0</v>
      </c>
      <c r="BG126" s="1139">
        <f>IF(1*ISERROR(VLOOKUP(R126,K76:Q85,7,FALSE)-30)=1,0,VLOOKUP(R126,K76:Q85,7,FALSE)-30)</f>
        <v>10</v>
      </c>
      <c r="BH126" s="1139">
        <f>IF(1*ISERROR(VLOOKUP(R126,M76:Q85,5,FALSE)-30)=1,0,VLOOKUP(R126,M76:Q85,5,FALSE)-30)</f>
        <v>7</v>
      </c>
      <c r="BI126" s="1139">
        <v>9</v>
      </c>
      <c r="BJ126" s="1139">
        <f t="shared" si="18"/>
        <v>35</v>
      </c>
      <c r="BK126" s="1139">
        <f t="shared" si="12"/>
        <v>4</v>
      </c>
      <c r="BL126" s="1139">
        <f>IF(BK126=35,35,BK126+COUNTIF(BK$98:BK125,BK126)/COUNTIF(BK$98:BK$132,BK126))</f>
        <v>4.5</v>
      </c>
      <c r="BM126" s="1139">
        <f t="shared" si="13"/>
        <v>5</v>
      </c>
      <c r="BN126" s="1139" t="s">
        <v>387</v>
      </c>
      <c r="BO126" s="1139">
        <f>IF(1*ISERROR(VLOOKUP(R126,C86:Q95,15,FALSE)-40)=1,0,VLOOKUP(R126,C86:Q95,15,FALSE)-40)</f>
        <v>0</v>
      </c>
      <c r="BP126" s="1139">
        <f>IF(1*ISERROR(VLOOKUP(R126,E86:Q95,13,FALSE)-40)=1,0,VLOOKUP(R126,E86:Q95,13,FALSE)-40)</f>
        <v>0</v>
      </c>
      <c r="BQ126" s="1139">
        <f>IF(1*ISERROR(VLOOKUP(R126,G86:Q95,11,FALSE)-40)=1,0,VLOOKUP(R126,G86:Q95,11,FALSE)-40)</f>
        <v>0</v>
      </c>
      <c r="BR126" s="1139">
        <f>IF(1*ISERROR(VLOOKUP(R126,I86:Q95,9,FALSE)-40)=1,0,VLOOKUP(R126,I86:Q95,9,FALSE)-40)</f>
        <v>0</v>
      </c>
      <c r="BS126" s="1139">
        <f>IF(1*ISERROR(VLOOKUP(R126,K86:Q95,7,FALSE)-40)=1,0,VLOOKUP(R126,K86:Q95,7,FALSE)-40)</f>
        <v>0</v>
      </c>
      <c r="BT126" s="1139">
        <f>IF(1*ISERROR(VLOOKUP(R126,M86:Q95,5,FALSE)-40)=1,0,VLOOKUP(R126,M86:Q95,5,FALSE)-40)</f>
        <v>0</v>
      </c>
      <c r="BU126" s="1139">
        <f t="shared" si="26"/>
        <v>0</v>
      </c>
      <c r="BV126" s="1139">
        <f t="shared" si="19"/>
        <v>0</v>
      </c>
      <c r="BW126" s="1139">
        <f>IF(BV126=0,35,_xlfn.RANK.EQ(BV126,BV98:BV132))</f>
        <v>35</v>
      </c>
      <c r="BX126" s="1139">
        <f>IF(BW126=35,35,BW126+COUNTIF(BW$98:BW125,BW126)/COUNTIF(BW$98:BW$132,BW126))</f>
        <v>35</v>
      </c>
      <c r="BY126" s="1139">
        <f t="shared" si="14"/>
        <v>11</v>
      </c>
      <c r="BZ126" s="1139" t="s">
        <v>387</v>
      </c>
      <c r="CA126" s="1098"/>
      <c r="CB126" s="1098"/>
      <c r="CC126" s="839"/>
    </row>
    <row r="127" spans="17:81" s="1086" customFormat="1">
      <c r="Q127" s="1138">
        <f t="shared" si="6"/>
        <v>30</v>
      </c>
      <c r="R127" s="1139" t="s">
        <v>415</v>
      </c>
      <c r="S127" s="1139">
        <f>IF(1*ISERROR(VLOOKUP(R127,C46:Q55,15,FALSE))=1,0,VLOOKUP(R127,C46:Q55,15,FALSE))</f>
        <v>0</v>
      </c>
      <c r="T127" s="1139">
        <f>IF(1*ISERROR(VLOOKUP(R127,E46:Q55,13,FALSE))=1,0,VLOOKUP(R127,E46:Q55,13,FALSE))</f>
        <v>0</v>
      </c>
      <c r="U127" s="1139">
        <f>IF(1*ISERROR(VLOOKUP(R127,G46:Q55,11,FALSE))=1,0,VLOOKUP(R127,G46:Q55,11,FALSE))</f>
        <v>0</v>
      </c>
      <c r="V127" s="1139">
        <f>IF(1*ISERROR(VLOOKUP(R127,I46:Q55,9,FALSE))=1,0,VLOOKUP(R127,I46:Q55,9,FALSE))</f>
        <v>0</v>
      </c>
      <c r="W127" s="1139">
        <f>IF(1*ISERROR(VLOOKUP(R127,K46:Q55,7,FALSE))=1,0,VLOOKUP(R127,K46:Q55,7,FALSE))</f>
        <v>0</v>
      </c>
      <c r="X127" s="1139">
        <f>IF(1*ISERROR(VLOOKUP(R127,M46:Q55,5,FALSE))=1,0,VLOOKUP(R127,M46:Q55,5,FALSE))</f>
        <v>0</v>
      </c>
      <c r="Y127" s="1139">
        <f t="shared" si="27"/>
        <v>0</v>
      </c>
      <c r="Z127" s="1139">
        <f t="shared" si="7"/>
        <v>0</v>
      </c>
      <c r="AA127" s="1139">
        <f>IF(Z127=0,35,_xlfn.RANK.EQ(Z127,Z98:Z132))</f>
        <v>35</v>
      </c>
      <c r="AB127" s="1139">
        <f>IF(AA127=35,35,AA127+COUNTIF(AA$98:AA126,AA127)/COUNTIF(AA$98:AA$132,AA127))</f>
        <v>35</v>
      </c>
      <c r="AC127" s="1139">
        <f t="shared" si="8"/>
        <v>13</v>
      </c>
      <c r="AD127" s="1139" t="s">
        <v>415</v>
      </c>
      <c r="AE127" s="1139">
        <f>IF(1*ISERROR(VLOOKUP(R127,C56:Q65,15,FALSE)-10)=1,0,VLOOKUP(R127,C56:Q65,15,FALSE)-10)</f>
        <v>0</v>
      </c>
      <c r="AF127" s="1139">
        <f>IF(1*ISERROR(VLOOKUP(R127,E56:Q65,13,FALSE)-10)=1,0,VLOOKUP(R127,E56:Q65,13,FALSE)-10)</f>
        <v>0</v>
      </c>
      <c r="AG127" s="1139">
        <f>IF(1*ISERROR(VLOOKUP(R127,G56:Q65,11,FALSE)-10)=1,0,VLOOKUP(R127,G56:Q65,11,FALSE)-10)</f>
        <v>0</v>
      </c>
      <c r="AH127" s="1139">
        <f>IF(1*ISERROR(VLOOKUP(R127,I56:Q65,9,FALSE)-10)=1,0,VLOOKUP(R127,I56:Q65,9,FALSE)-10)</f>
        <v>0</v>
      </c>
      <c r="AI127" s="1139">
        <f>IF(1*ISERROR(VLOOKUP(R127,K56:Q65,7,FALSE)-10)=1,0,VLOOKUP(R127,K56:Q65,7,FALSE)-10)</f>
        <v>0</v>
      </c>
      <c r="AJ127" s="1139">
        <f>IF(1*ISERROR(VLOOKUP(R127,M56:Q65,5,FALSE)-10)=1,0,VLOOKUP(R127,M56:Q65,5,FALSE)-10)</f>
        <v>0</v>
      </c>
      <c r="AK127" s="1139">
        <f t="shared" si="17"/>
        <v>0</v>
      </c>
      <c r="AL127" s="1139">
        <f t="shared" si="15"/>
        <v>0</v>
      </c>
      <c r="AM127" s="1139">
        <f>IF(AL127=0,35,_xlfn.RANK.EQ(AL127,AL98:AL132))</f>
        <v>35</v>
      </c>
      <c r="AN127" s="1139">
        <f>IF(AM127=35,35,AM127+COUNTIF(AM$98:AM126,AM127)/COUNTIF(AM$98:AM$132,AM127))</f>
        <v>35</v>
      </c>
      <c r="AO127" s="1139">
        <f t="shared" si="9"/>
        <v>12</v>
      </c>
      <c r="AP127" s="1139" t="s">
        <v>415</v>
      </c>
      <c r="AQ127" s="1139">
        <f>IF(1*ISERROR(VLOOKUP(R127,C66:Q75,15,FALSE)-20)=1,0,VLOOKUP(R127,C66:Q75,15,FALSE)-20)</f>
        <v>0</v>
      </c>
      <c r="AR127" s="1139">
        <f>IF(1*ISERROR(VLOOKUP(R127,E66:Q75,13,FALSE)-20)=1,0,VLOOKUP(R127,E66:Q75,13,FALSE)-20)</f>
        <v>0</v>
      </c>
      <c r="AS127" s="1139">
        <f>IF(1*ISERROR(VLOOKUP(R127,G66:Q75,11,FALSE)-20)=1,0,VLOOKUP(R127,G66:Q75,11,FALSE)-20)</f>
        <v>0</v>
      </c>
      <c r="AT127" s="1139">
        <f>IF(1*ISERROR(VLOOKUP(R127,I66:Q75,9,FALSE)-20)=1,0,VLOOKUP(R127,I66:Q75,9,FALSE)-20)</f>
        <v>0</v>
      </c>
      <c r="AU127" s="1139">
        <f>IF(1*ISERROR(VLOOKUP(R127,K66:Q75,7,FALSE)-20)=1,0,VLOOKUP(R127,K66:Q75,7,FALSE)-20)</f>
        <v>0</v>
      </c>
      <c r="AV127" s="1139">
        <f>IF(1*ISERROR(VLOOKUP(R127,M66:Q75,5,FALSE)-20)=1,0,VLOOKUP(R127,M66:Q75,5,FALSE)-20)</f>
        <v>0</v>
      </c>
      <c r="AW127" s="1139">
        <f t="shared" si="16"/>
        <v>0</v>
      </c>
      <c r="AX127" s="1139">
        <f t="shared" si="10"/>
        <v>0</v>
      </c>
      <c r="AY127" s="1139">
        <f>IF(AX127=0,35,_xlfn.RANK.EQ(AX127,AX98:AX132))</f>
        <v>35</v>
      </c>
      <c r="AZ127" s="1139">
        <f>IF(AY127=35,35,AY127+COUNTIF(AY$98:AY126,AY127)/COUNTIF(AY$98:AY$132,AY127))</f>
        <v>35</v>
      </c>
      <c r="BA127" s="1139">
        <f t="shared" si="11"/>
        <v>13</v>
      </c>
      <c r="BB127" s="1139" t="s">
        <v>415</v>
      </c>
      <c r="BC127" s="1139">
        <f>IF(1*ISERROR(VLOOKUP(R127,C76:Q85,15,FALSE)-30)=1,0,VLOOKUP(R127,C76:Q85,15,FALSE)-30)</f>
        <v>0</v>
      </c>
      <c r="BD127" s="1139">
        <f>IF(1*ISERROR(VLOOKUP(R127,E76:Q85,13,FALSE)-30)=1,0,VLOOKUP(R127,E76:Q85,13,FALSE)-30)</f>
        <v>0</v>
      </c>
      <c r="BE127" s="1139">
        <f>IF(1*ISERROR(VLOOKUP(R127,G76:Q85,11,FALSE)-30)=1,0,VLOOKUP(R127,G76:Q85,11,FALSE)-30)</f>
        <v>0</v>
      </c>
      <c r="BF127" s="1139">
        <f>IF(1*ISERROR(VLOOKUP(R127,I76:Q85,9,FALSE)-30)=1,0,VLOOKUP(R127,I76:Q85,9,FALSE)-30)</f>
        <v>0</v>
      </c>
      <c r="BG127" s="1139">
        <f>IF(1*ISERROR(VLOOKUP(R127,K76:Q85,7,FALSE)-30)=1,0,VLOOKUP(R127,K76:Q85,7,FALSE)-30)</f>
        <v>0</v>
      </c>
      <c r="BH127" s="1139">
        <f>IF(1*ISERROR(VLOOKUP(R127,M76:Q85,5,FALSE)-30)=1,0,VLOOKUP(R127,M76:Q85,5,FALSE)-30)</f>
        <v>0</v>
      </c>
      <c r="BI127" s="1139">
        <f t="shared" ref="BI127:BI131" si="28">IF(1*ISERROR(VLOOKUP(R127,M83:R92,5,FALSE)-30)=1,0,VLOOKUP(R127,M83:R92,5,FALSE)-30)</f>
        <v>0</v>
      </c>
      <c r="BJ127" s="1139">
        <f t="shared" si="18"/>
        <v>0</v>
      </c>
      <c r="BK127" s="1139">
        <f t="shared" si="12"/>
        <v>35</v>
      </c>
      <c r="BL127" s="1139">
        <f>IF(BK127=35,35,BK127+COUNTIF(BK$98:BK126,BK127)/COUNTIF(BK$98:BK$132,BK127))</f>
        <v>35</v>
      </c>
      <c r="BM127" s="1139">
        <f t="shared" si="13"/>
        <v>13</v>
      </c>
      <c r="BN127" s="1139" t="s">
        <v>415</v>
      </c>
      <c r="BO127" s="1139">
        <f>IF(1*ISERROR(VLOOKUP(R127,C86:Q95,15,FALSE)-40)=1,0,VLOOKUP(R127,C86:Q95,15,FALSE)-40)</f>
        <v>0</v>
      </c>
      <c r="BP127" s="1139">
        <f>IF(1*ISERROR(VLOOKUP(R127,E86:Q95,13,FALSE)-40)=1,0,VLOOKUP(R127,E86:Q95,13,FALSE)-40)</f>
        <v>0</v>
      </c>
      <c r="BQ127" s="1139">
        <f>IF(1*ISERROR(VLOOKUP(R127,G86:Q95,11,FALSE)-40)=1,0,VLOOKUP(R127,G86:Q95,11,FALSE)-40)</f>
        <v>0</v>
      </c>
      <c r="BR127" s="1139">
        <f>IF(1*ISERROR(VLOOKUP(R127,I86:Q95,9,FALSE)-40)=1,0,VLOOKUP(R127,I86:Q95,9,FALSE)-40)</f>
        <v>0</v>
      </c>
      <c r="BS127" s="1139">
        <f>IF(1*ISERROR(VLOOKUP(R127,K86:Q95,7,FALSE)-40)=1,0,VLOOKUP(R127,K86:Q95,7,FALSE)-40)</f>
        <v>0</v>
      </c>
      <c r="BT127" s="1139">
        <f>IF(1*ISERROR(VLOOKUP(R127,M86:Q95,5,FALSE)-40)=1,0,VLOOKUP(R127,M86:Q95,5,FALSE)-40)</f>
        <v>0</v>
      </c>
      <c r="BU127" s="1139">
        <f t="shared" si="26"/>
        <v>0</v>
      </c>
      <c r="BV127" s="1139">
        <f t="shared" si="19"/>
        <v>0</v>
      </c>
      <c r="BW127" s="1139">
        <f>IF(BV127=0,35,_xlfn.RANK.EQ(BV127,BV98:BV132))</f>
        <v>35</v>
      </c>
      <c r="BX127" s="1139">
        <f>IF(BW127=35,35,BW127+COUNTIF(BW$98:BW126,BW127)/COUNTIF(BW$98:BW$132,BW127))</f>
        <v>35</v>
      </c>
      <c r="BY127" s="1139">
        <f t="shared" si="14"/>
        <v>11</v>
      </c>
      <c r="BZ127" s="1139" t="s">
        <v>415</v>
      </c>
      <c r="CA127" s="1098"/>
      <c r="CB127" s="1098"/>
      <c r="CC127" s="839"/>
    </row>
    <row r="128" spans="17:81" s="1086" customFormat="1">
      <c r="Q128" s="1138">
        <f t="shared" si="6"/>
        <v>31</v>
      </c>
      <c r="R128" s="1139" t="s">
        <v>416</v>
      </c>
      <c r="S128" s="1139">
        <f>IF(1*ISERROR(VLOOKUP(R128,C46:Q55,15,FALSE))=1,0,VLOOKUP(R128,C46:Q55,15,FALSE))</f>
        <v>0</v>
      </c>
      <c r="T128" s="1139">
        <f>IF(1*ISERROR(VLOOKUP(R128,E46:Q55,13,FALSE))=1,0,VLOOKUP(R128,E46:Q55,13,FALSE))</f>
        <v>0</v>
      </c>
      <c r="U128" s="1139">
        <f>IF(1*ISERROR(VLOOKUP(R128,G46:Q55,11,FALSE))=1,0,VLOOKUP(R128,G46:Q55,11,FALSE))</f>
        <v>0</v>
      </c>
      <c r="V128" s="1139">
        <f>IF(1*ISERROR(VLOOKUP(R128,I46:Q55,9,FALSE))=1,0,VLOOKUP(R128,I46:Q55,9,FALSE))</f>
        <v>0</v>
      </c>
      <c r="W128" s="1139">
        <f>IF(1*ISERROR(VLOOKUP(R128,K46:Q55,7,FALSE))=1,0,VLOOKUP(R128,K46:Q55,7,FALSE))</f>
        <v>10</v>
      </c>
      <c r="X128" s="1139">
        <f>IF(1*ISERROR(VLOOKUP(R128,M46:Q55,5,FALSE))=1,0,VLOOKUP(R128,M46:Q55,5,FALSE))</f>
        <v>10</v>
      </c>
      <c r="Y128" s="1139">
        <f t="shared" si="27"/>
        <v>10</v>
      </c>
      <c r="Z128" s="1139">
        <f t="shared" si="7"/>
        <v>20</v>
      </c>
      <c r="AA128" s="1139">
        <f>IF(Z128=0,35,_xlfn.RANK.EQ(Z128,Z98:Z132))</f>
        <v>8</v>
      </c>
      <c r="AB128" s="1139">
        <f>IF(AA128=35,35,AA128+COUNTIF(AA$98:AA127,AA128)/COUNTIF(AA$98:AA$132,AA128))</f>
        <v>8</v>
      </c>
      <c r="AC128" s="1139">
        <f t="shared" si="8"/>
        <v>8</v>
      </c>
      <c r="AD128" s="1139" t="s">
        <v>416</v>
      </c>
      <c r="AE128" s="1139">
        <f>IF(1*ISERROR(VLOOKUP(R128,C56:Q65,15,FALSE)-10)=1,0,VLOOKUP(R128,C56:Q65,15,FALSE)-10)</f>
        <v>0</v>
      </c>
      <c r="AF128" s="1139">
        <f>IF(1*ISERROR(VLOOKUP(R128,E56:Q65,13,FALSE)-10)=1,0,VLOOKUP(R128,E56:Q65,13,FALSE)-10)</f>
        <v>0</v>
      </c>
      <c r="AG128" s="1139">
        <f>IF(1*ISERROR(VLOOKUP(R128,G56:Q65,11,FALSE)-10)=1,0,VLOOKUP(R128,G56:Q65,11,FALSE)-10)</f>
        <v>0</v>
      </c>
      <c r="AH128" s="1139">
        <f>IF(1*ISERROR(VLOOKUP(R128,I56:Q65,9,FALSE)-10)=1,0,VLOOKUP(R128,I56:Q65,9,FALSE)-10)</f>
        <v>0</v>
      </c>
      <c r="AI128" s="1139">
        <f>IF(1*ISERROR(VLOOKUP(R128,K56:Q65,7,FALSE)-10)=1,0,VLOOKUP(R128,K56:Q65,7,FALSE)-10)</f>
        <v>0</v>
      </c>
      <c r="AJ128" s="1139">
        <f>IF(1*ISERROR(VLOOKUP(R128,M56:Q65,5,FALSE)-10)=1,0,VLOOKUP(R128,M56:Q65,5,FALSE)-10)</f>
        <v>0</v>
      </c>
      <c r="AK128" s="1139">
        <f t="shared" si="17"/>
        <v>0</v>
      </c>
      <c r="AL128" s="1139">
        <f t="shared" si="15"/>
        <v>0</v>
      </c>
      <c r="AM128" s="1139">
        <f>IF(AL128=0,35,_xlfn.RANK.EQ(AL128,AL98:AL132))</f>
        <v>35</v>
      </c>
      <c r="AN128" s="1139">
        <f>IF(AM128=35,35,AM128+COUNTIF(AM$98:AM127,AM128)/COUNTIF(AM$98:AM$132,AM128))</f>
        <v>35</v>
      </c>
      <c r="AO128" s="1139">
        <f t="shared" si="9"/>
        <v>12</v>
      </c>
      <c r="AP128" s="1139" t="s">
        <v>416</v>
      </c>
      <c r="AQ128" s="1139">
        <f>IF(1*ISERROR(VLOOKUP(R128,C66:Q75,15,FALSE)-20)=1,0,VLOOKUP(R128,C66:Q75,15,FALSE)-20)</f>
        <v>0</v>
      </c>
      <c r="AR128" s="1139">
        <f>IF(1*ISERROR(VLOOKUP(R128,E66:Q75,13,FALSE)-20)=1,0,VLOOKUP(R128,E66:Q75,13,FALSE)-20)</f>
        <v>0</v>
      </c>
      <c r="AS128" s="1139">
        <f>IF(1*ISERROR(VLOOKUP(R128,G66:Q75,11,FALSE)-20)=1,0,VLOOKUP(R128,G66:Q75,11,FALSE)-20)</f>
        <v>0</v>
      </c>
      <c r="AT128" s="1139">
        <f>IF(1*ISERROR(VLOOKUP(R128,I66:Q75,9,FALSE)-20)=1,0,VLOOKUP(R128,I66:Q75,9,FALSE)-20)</f>
        <v>0</v>
      </c>
      <c r="AU128" s="1139">
        <f>IF(1*ISERROR(VLOOKUP(R128,K66:Q75,7,FALSE)-20)=1,0,VLOOKUP(R128,K66:Q75,7,FALSE)-20)</f>
        <v>0</v>
      </c>
      <c r="AV128" s="1139">
        <f>IF(1*ISERROR(VLOOKUP(R128,M66:Q75,5,FALSE)-20)=1,0,VLOOKUP(R128,M66:Q75,5,FALSE)-20)</f>
        <v>0</v>
      </c>
      <c r="AW128" s="1139">
        <f t="shared" si="16"/>
        <v>0</v>
      </c>
      <c r="AX128" s="1139">
        <f t="shared" si="10"/>
        <v>0</v>
      </c>
      <c r="AY128" s="1139">
        <f>IF(AX128=0,35,_xlfn.RANK.EQ(AX128,AX98:AX132))</f>
        <v>35</v>
      </c>
      <c r="AZ128" s="1139">
        <f>IF(AY128=35,35,AY128+COUNTIF(AY$98:AY127,AY128)/COUNTIF(AY$98:AY$132,AY128))</f>
        <v>35</v>
      </c>
      <c r="BA128" s="1139">
        <f t="shared" si="11"/>
        <v>13</v>
      </c>
      <c r="BB128" s="1139" t="s">
        <v>416</v>
      </c>
      <c r="BC128" s="1139">
        <f>IF(1*ISERROR(VLOOKUP(R128,C76:Q85,15,FALSE)-30)=1,0,VLOOKUP(R128,C76:Q85,15,FALSE)-30)</f>
        <v>0</v>
      </c>
      <c r="BD128" s="1139">
        <f>IF(1*ISERROR(VLOOKUP(R128,E76:Q85,13,FALSE)-30)=1,0,VLOOKUP(R128,E76:Q85,13,FALSE)-30)</f>
        <v>0</v>
      </c>
      <c r="BE128" s="1139">
        <f>IF(1*ISERROR(VLOOKUP(R128,G76:Q85,11,FALSE)-30)=1,0,VLOOKUP(R128,G76:Q85,11,FALSE)-30)</f>
        <v>0</v>
      </c>
      <c r="BF128" s="1139">
        <f>IF(1*ISERROR(VLOOKUP(R128,I76:Q85,9,FALSE)-30)=1,0,VLOOKUP(R128,I76:Q85,9,FALSE)-30)</f>
        <v>0</v>
      </c>
      <c r="BG128" s="1139">
        <f>IF(1*ISERROR(VLOOKUP(R128,K76:Q85,7,FALSE)-30)=1,0,VLOOKUP(R128,K76:Q85,7,FALSE)-30)</f>
        <v>0</v>
      </c>
      <c r="BH128" s="1139">
        <f>IF(1*ISERROR(VLOOKUP(R128,M76:Q85,5,FALSE)-30)=1,0,VLOOKUP(R128,M76:Q85,5,FALSE)-30)</f>
        <v>0</v>
      </c>
      <c r="BI128" s="1139">
        <f t="shared" si="28"/>
        <v>0</v>
      </c>
      <c r="BJ128" s="1139">
        <f t="shared" si="18"/>
        <v>0</v>
      </c>
      <c r="BK128" s="1139">
        <f t="shared" si="12"/>
        <v>35</v>
      </c>
      <c r="BL128" s="1139">
        <f>IF(BK128=35,35,BK128+COUNTIF(BK$98:BK127,BK128)/COUNTIF(BK$98:BK$132,BK128))</f>
        <v>35</v>
      </c>
      <c r="BM128" s="1139">
        <f t="shared" si="13"/>
        <v>13</v>
      </c>
      <c r="BN128" s="1139" t="s">
        <v>416</v>
      </c>
      <c r="BO128" s="1139">
        <f>IF(1*ISERROR(VLOOKUP(R128,C86:Q95,15,FALSE)-40)=1,0,VLOOKUP(R128,C86:Q95,15,FALSE)-40)</f>
        <v>0</v>
      </c>
      <c r="BP128" s="1139">
        <f>IF(1*ISERROR(VLOOKUP(R128,E86:Q95,13,FALSE)-40)=1,0,VLOOKUP(R128,E86:Q95,13,FALSE)-40)</f>
        <v>0</v>
      </c>
      <c r="BQ128" s="1139">
        <f>IF(1*ISERROR(VLOOKUP(R128,G86:Q95,11,FALSE)-40)=1,0,VLOOKUP(R128,G86:Q95,11,FALSE)-40)</f>
        <v>0</v>
      </c>
      <c r="BR128" s="1139">
        <f>IF(1*ISERROR(VLOOKUP(R128,I86:Q95,9,FALSE)-40)=1,0,VLOOKUP(R128,I86:Q95,9,FALSE)-40)</f>
        <v>0</v>
      </c>
      <c r="BS128" s="1139">
        <f>IF(1*ISERROR(VLOOKUP(R128,K86:Q95,7,FALSE)-40)=1,0,VLOOKUP(R128,K86:Q95,7,FALSE)-40)</f>
        <v>0</v>
      </c>
      <c r="BT128" s="1139">
        <f>IF(1*ISERROR(VLOOKUP(R128,M86:Q95,5,FALSE)-40)=1,0,VLOOKUP(R128,M86:Q95,5,FALSE)-40)</f>
        <v>0</v>
      </c>
      <c r="BU128" s="1139">
        <f t="shared" si="26"/>
        <v>0</v>
      </c>
      <c r="BV128" s="1139">
        <f t="shared" si="19"/>
        <v>0</v>
      </c>
      <c r="BW128" s="1139">
        <f>IF(BV128=0,35,_xlfn.RANK.EQ(BV128,BV98:BV132))</f>
        <v>35</v>
      </c>
      <c r="BX128" s="1139">
        <f>IF(BW128=35,35,BW128+COUNTIF(BW$98:BW127,BW128)/COUNTIF(BW$98:BW$132,BW128))</f>
        <v>35</v>
      </c>
      <c r="BY128" s="1139">
        <f t="shared" si="14"/>
        <v>11</v>
      </c>
      <c r="BZ128" s="1139" t="s">
        <v>416</v>
      </c>
      <c r="CA128" s="1098"/>
      <c r="CB128" s="1098"/>
      <c r="CC128" s="839"/>
    </row>
    <row r="129" spans="17:81" s="1086" customFormat="1">
      <c r="Q129" s="1138">
        <f t="shared" si="6"/>
        <v>32</v>
      </c>
      <c r="R129" s="1139" t="s">
        <v>381</v>
      </c>
      <c r="S129" s="1139">
        <f>IF(1*ISERROR(VLOOKUP(R129,C46:Q55,15,FALSE))=1,0,VLOOKUP(R129,C46:Q55,15,FALSE))</f>
        <v>4</v>
      </c>
      <c r="T129" s="1139">
        <f>IF(1*ISERROR(VLOOKUP(R129,E46:Q55,13,FALSE))=1,0,VLOOKUP(R129,E46:Q55,13,FALSE))</f>
        <v>4</v>
      </c>
      <c r="U129" s="1139">
        <f>IF(1*ISERROR(VLOOKUP(R129,G46:Q55,11,FALSE))=1,0,VLOOKUP(R129,G46:Q55,11,FALSE))</f>
        <v>4</v>
      </c>
      <c r="V129" s="1139">
        <f>IF(1*ISERROR(VLOOKUP(R129,I46:Q55,9,FALSE))=1,0,VLOOKUP(R129,I46:Q55,9,FALSE))</f>
        <v>4</v>
      </c>
      <c r="W129" s="1139">
        <f>IF(1*ISERROR(VLOOKUP(R129,K46:Q55,7,FALSE))=1,0,VLOOKUP(R129,K46:Q55,7,FALSE))</f>
        <v>4</v>
      </c>
      <c r="X129" s="1139">
        <f>IF(1*ISERROR(VLOOKUP(R129,M46:Q55,5,FALSE))=1,0,VLOOKUP(R129,M46:Q55,5,FALSE))</f>
        <v>3</v>
      </c>
      <c r="Y129" s="1139">
        <f>IF(1*ISERROR(VLOOKUP(R129,M46:Q55,5,FALSE))=1,0,VLOOKUP(R129,M46:Q55,5,FALSE))</f>
        <v>3</v>
      </c>
      <c r="Z129" s="1139">
        <f t="shared" si="7"/>
        <v>23</v>
      </c>
      <c r="AA129" s="1139">
        <f>IF(Z129=0,35,_xlfn.RANK.EQ(Z129,Z98:Z132))</f>
        <v>7</v>
      </c>
      <c r="AB129" s="1139">
        <f>IF(AA129=35,35,AA129+COUNTIF(AA$98:AA128,AA129)/COUNTIF(AA$98:AA$132,AA129))</f>
        <v>7</v>
      </c>
      <c r="AC129" s="1139">
        <f t="shared" si="8"/>
        <v>7</v>
      </c>
      <c r="AD129" s="1139" t="s">
        <v>381</v>
      </c>
      <c r="AE129" s="1139">
        <f>IF(1*ISERROR(VLOOKUP(R129,C56:Q65,15,FALSE)-10)=1,0,VLOOKUP(R129,C56:Q65,15,FALSE)-10)</f>
        <v>5</v>
      </c>
      <c r="AF129" s="1139">
        <f>IF(1*ISERROR(VLOOKUP(R129,E56:Q65,13,FALSE)-10)=1,0,VLOOKUP(R129,E56:Q65,13,FALSE)-10)</f>
        <v>5</v>
      </c>
      <c r="AG129" s="1139">
        <f>IF(1*ISERROR(VLOOKUP(R129,G56:Q65,11,FALSE)-10)=1,0,VLOOKUP(R129,G56:Q65,11,FALSE)-10)</f>
        <v>5</v>
      </c>
      <c r="AH129" s="1139">
        <f>IF(1*ISERROR(VLOOKUP(R129,I56:Q65,9,FALSE)-10)=1,0,VLOOKUP(R129,I56:Q65,9,FALSE)-10)</f>
        <v>4</v>
      </c>
      <c r="AI129" s="1139">
        <f>IF(1*ISERROR(VLOOKUP(R129,K56:Q65,7,FALSE)-10)=1,0,VLOOKUP(R129,K56:Q65,7,FALSE)-10)</f>
        <v>6</v>
      </c>
      <c r="AJ129" s="1139">
        <f>IF(1*ISERROR(VLOOKUP(R129,M56:Q65,5,FALSE)-10)=1,0,VLOOKUP(R129,M56:Q65,5,FALSE)-10)</f>
        <v>6</v>
      </c>
      <c r="AK129" s="1139">
        <v>8</v>
      </c>
      <c r="AL129" s="1139">
        <f t="shared" si="15"/>
        <v>31</v>
      </c>
      <c r="AM129" s="1139">
        <f>IF(AL129=0,35,_xlfn.RANK.EQ(AL129,AL98:AL132))</f>
        <v>7</v>
      </c>
      <c r="AN129" s="1139">
        <f>IF(AM129=35,35,AM129+COUNTIF(AM$98:AM128,AM129)/COUNTIF(AM$98:AM$132,AM129))</f>
        <v>7</v>
      </c>
      <c r="AO129" s="1139">
        <f t="shared" si="9"/>
        <v>7</v>
      </c>
      <c r="AP129" s="1139" t="s">
        <v>381</v>
      </c>
      <c r="AQ129" s="1139">
        <f>IF(1*ISERROR(VLOOKUP(R129,C66:Q75,15,FALSE)-20)=1,0,VLOOKUP(R129,C66:Q75,15,FALSE)-20)</f>
        <v>2</v>
      </c>
      <c r="AR129" s="1139">
        <f>IF(1*ISERROR(VLOOKUP(R129,E66:Q75,13,FALSE)-20)=1,0,VLOOKUP(R129,E66:Q75,13,FALSE)-20)</f>
        <v>2</v>
      </c>
      <c r="AS129" s="1139">
        <f>IF(1*ISERROR(VLOOKUP(R129,G66:Q75,11,FALSE)-20)=1,0,VLOOKUP(R129,G66:Q75,11,FALSE)-20)</f>
        <v>4</v>
      </c>
      <c r="AT129" s="1139">
        <f>IF(1*ISERROR(VLOOKUP(R129,I66:Q75,9,FALSE)-20)=1,0,VLOOKUP(R129,I66:Q75,9,FALSE)-20)</f>
        <v>4</v>
      </c>
      <c r="AU129" s="1139">
        <f>IF(1*ISERROR(VLOOKUP(R129,K66:Q75,7,FALSE)-20)=1,0,VLOOKUP(R129,K66:Q75,7,FALSE)-20)</f>
        <v>5</v>
      </c>
      <c r="AV129" s="1139">
        <f>IF(1*ISERROR(VLOOKUP(R129,M66:Q75,5,FALSE)-20)=1,0,VLOOKUP(R129,M66:Q75,5,FALSE)-20)</f>
        <v>6</v>
      </c>
      <c r="AW129" s="1139">
        <v>5</v>
      </c>
      <c r="AX129" s="1139">
        <f t="shared" si="10"/>
        <v>28</v>
      </c>
      <c r="AY129" s="1139">
        <f>IF(AX129=0,35,_xlfn.RANK.EQ(AX129,AX98:AX132))</f>
        <v>7</v>
      </c>
      <c r="AZ129" s="1139">
        <f>IF(AY129=35,35,AY129+COUNTIF(AY$98:AY128,AY129)/COUNTIF(AY$98:AY$132,AY129))</f>
        <v>7</v>
      </c>
      <c r="BA129" s="1139">
        <f t="shared" si="11"/>
        <v>7</v>
      </c>
      <c r="BB129" s="1139" t="s">
        <v>381</v>
      </c>
      <c r="BC129" s="1139">
        <f>IF(1*ISERROR(VLOOKUP(R129,C76:Q85,15,FALSE)-30)=1,0,VLOOKUP(R129,C76:Q85,15,FALSE)-30)</f>
        <v>8</v>
      </c>
      <c r="BD129" s="1139">
        <f>IF(1*ISERROR(VLOOKUP(R129,E76:Q85,13,FALSE)-30)=1,0,VLOOKUP(R129,E76:Q85,13,FALSE)-30)</f>
        <v>8</v>
      </c>
      <c r="BE129" s="1139">
        <f>IF(1*ISERROR(VLOOKUP(R129,G76:Q85,11,FALSE)-30)=1,0,VLOOKUP(R129,G76:Q85,11,FALSE)-30)</f>
        <v>8</v>
      </c>
      <c r="BF129" s="1139">
        <f>IF(1*ISERROR(VLOOKUP(R129,I76:Q85,9,FALSE)-30)=1,0,VLOOKUP(R129,I76:Q85,9,FALSE)-30)</f>
        <v>7</v>
      </c>
      <c r="BG129" s="1139">
        <f>IF(1*ISERROR(VLOOKUP(R129,K76:Q85,7,FALSE)-30)=1,0,VLOOKUP(R129,K76:Q85,7,FALSE)-30)</f>
        <v>7</v>
      </c>
      <c r="BH129" s="1139">
        <f>IF(1*ISERROR(VLOOKUP(R129,M76:Q85,5,FALSE)-30)=1,0,VLOOKUP(R129,M76:Q85,5,FALSE)-30)</f>
        <v>9</v>
      </c>
      <c r="BI129" s="1139">
        <v>7</v>
      </c>
      <c r="BJ129" s="1139">
        <f t="shared" si="18"/>
        <v>47</v>
      </c>
      <c r="BK129" s="1139">
        <f t="shared" si="12"/>
        <v>2</v>
      </c>
      <c r="BL129" s="1139">
        <f>IF(BK129=35,35,BK129+COUNTIF(BK$98:BK128,BK129)/COUNTIF(BK$98:BK$132,BK129))</f>
        <v>2</v>
      </c>
      <c r="BM129" s="1139">
        <f t="shared" si="13"/>
        <v>2</v>
      </c>
      <c r="BN129" s="1139" t="s">
        <v>381</v>
      </c>
      <c r="BO129" s="1139">
        <f>IF(1*ISERROR(VLOOKUP(R129,C86:Q95,15,FALSE)-40)=1,0,VLOOKUP(R129,C86:Q95,15,FALSE)-40)</f>
        <v>8</v>
      </c>
      <c r="BP129" s="1139">
        <f>IF(1*ISERROR(VLOOKUP(R129,E86:Q95,13,FALSE)-40)=1,0,VLOOKUP(R129,E86:Q95,13,FALSE)-40)</f>
        <v>8</v>
      </c>
      <c r="BQ129" s="1139">
        <f>IF(1*ISERROR(VLOOKUP(R129,G86:Q95,11,FALSE)-40)=1,0,VLOOKUP(R129,G86:Q95,11,FALSE)-40)</f>
        <v>8</v>
      </c>
      <c r="BR129" s="1139">
        <f>IF(1*ISERROR(VLOOKUP(R129,I86:Q95,9,FALSE)-40)=1,0,VLOOKUP(R129,I86:Q95,9,FALSE)-40)</f>
        <v>8</v>
      </c>
      <c r="BS129" s="1139">
        <f>IF(1*ISERROR(VLOOKUP(R129,K86:Q95,7,FALSE)-40)=1,0,VLOOKUP(R129,K86:Q95,7,FALSE)-40)</f>
        <v>8</v>
      </c>
      <c r="BT129" s="1139">
        <f>IF(1*ISERROR(VLOOKUP(R129,M86:Q95,5,FALSE)-40)=1,0,VLOOKUP(R129,M86:Q95,5,FALSE)-40)</f>
        <v>8</v>
      </c>
      <c r="BU129" s="1139">
        <v>7</v>
      </c>
      <c r="BV129" s="1139">
        <f t="shared" si="19"/>
        <v>55</v>
      </c>
      <c r="BW129" s="1139">
        <f>IF(BV129=0,35,_xlfn.RANK.EQ(BV129,BV98:BV132))</f>
        <v>3</v>
      </c>
      <c r="BX129" s="1139">
        <f>IF(BW129=35,35,BW129+COUNTIF(BW$98:BW128,BW129)/COUNTIF(BW$98:BW$132,BW129))</f>
        <v>3</v>
      </c>
      <c r="BY129" s="1139">
        <f t="shared" si="14"/>
        <v>4</v>
      </c>
      <c r="BZ129" s="1139" t="s">
        <v>381</v>
      </c>
      <c r="CA129" s="1098"/>
      <c r="CB129" s="1098"/>
      <c r="CC129" s="839"/>
    </row>
    <row r="130" spans="17:81" s="1086" customFormat="1">
      <c r="Q130" s="1138">
        <f t="shared" si="6"/>
        <v>33</v>
      </c>
      <c r="R130" s="1139" t="s">
        <v>389</v>
      </c>
      <c r="S130" s="1139">
        <f>IF(1*ISERROR(VLOOKUP(R130,C46:Q55,15,FALSE))=1,0,VLOOKUP(R130,C46:Q55,15,FALSE))</f>
        <v>0</v>
      </c>
      <c r="T130" s="1139">
        <f>IF(1*ISERROR(VLOOKUP(R130,E46:Q55,13,FALSE))=1,0,VLOOKUP(R130,E46:Q55,13,FALSE))</f>
        <v>0</v>
      </c>
      <c r="U130" s="1139">
        <f>IF(1*ISERROR(VLOOKUP(R130,G46:Q55,11,FALSE))=1,0,VLOOKUP(R130,G46:Q55,11,FALSE))</f>
        <v>0</v>
      </c>
      <c r="V130" s="1139">
        <f>IF(1*ISERROR(VLOOKUP(R130,I46:Q55,9,FALSE))=1,0,VLOOKUP(R130,I46:Q55,9,FALSE))</f>
        <v>0</v>
      </c>
      <c r="W130" s="1139">
        <f>IF(1*ISERROR(VLOOKUP(R130,K46:Q55,7,FALSE))=1,0,VLOOKUP(R130,K46:Q55,7,FALSE))</f>
        <v>0</v>
      </c>
      <c r="X130" s="1139">
        <f>IF(1*ISERROR(VLOOKUP(R130,M46:Q55,5,FALSE))=1,0,VLOOKUP(R130,M46:Q55,5,FALSE))</f>
        <v>0</v>
      </c>
      <c r="Y130" s="1139">
        <f>IF(1*ISERROR(VLOOKUP(R130,M47:Q56,5,FALSE))=1,0,VLOOKUP(R130,M47:Q56,5,FALSE))</f>
        <v>0</v>
      </c>
      <c r="Z130" s="1139">
        <f t="shared" si="7"/>
        <v>0</v>
      </c>
      <c r="AA130" s="1139">
        <f>IF(Z130=0,35,_xlfn.RANK.EQ(Z130,Z98:Z132))</f>
        <v>35</v>
      </c>
      <c r="AB130" s="1139">
        <f>IF(AA130=35,35,AA130+COUNTIF(AA$98:AA129,AA130)/COUNTIF(AA$98:AA$132,AA130))</f>
        <v>35</v>
      </c>
      <c r="AC130" s="1139">
        <f t="shared" si="8"/>
        <v>13</v>
      </c>
      <c r="AD130" s="1139" t="s">
        <v>389</v>
      </c>
      <c r="AE130" s="1139">
        <f>IF(1*ISERROR(VLOOKUP(R130,C56:Q65,15,FALSE)-10)=1,0,VLOOKUP(R130,C56:Q65,15,FALSE)-10)</f>
        <v>3</v>
      </c>
      <c r="AF130" s="1139">
        <f>IF(1*ISERROR(VLOOKUP(R130,E56:Q65,13,FALSE)-10)=1,0,VLOOKUP(R130,E56:Q65,13,FALSE)-10)</f>
        <v>3</v>
      </c>
      <c r="AG130" s="1139">
        <f>IF(1*ISERROR(VLOOKUP(R130,G56:Q65,11,FALSE)-10)=1,0,VLOOKUP(R130,G56:Q65,11,FALSE)-10)</f>
        <v>3</v>
      </c>
      <c r="AH130" s="1139">
        <f>IF(1*ISERROR(VLOOKUP(R130,I56:Q65,9,FALSE)-10)=1,0,VLOOKUP(R130,I56:Q65,9,FALSE)-10)</f>
        <v>3</v>
      </c>
      <c r="AI130" s="1139">
        <f>IF(1*ISERROR(VLOOKUP(R130,K56:Q65,7,FALSE)-10)=1,0,VLOOKUP(R130,K56:Q65,7,FALSE)-10)</f>
        <v>2</v>
      </c>
      <c r="AJ130" s="1139">
        <f>IF(1*ISERROR(VLOOKUP(R130,M56:Q65,5,FALSE)-10)=1,0,VLOOKUP(R130,M56:Q65,5,FALSE)-10)</f>
        <v>2</v>
      </c>
      <c r="AK130" s="1139">
        <v>4</v>
      </c>
      <c r="AL130" s="1139">
        <f t="shared" si="15"/>
        <v>16</v>
      </c>
      <c r="AM130" s="1139">
        <f>IF(AL130=0,35,_xlfn.RANK.EQ(AL130,AL98:AL132))</f>
        <v>9</v>
      </c>
      <c r="AN130" s="1139">
        <f>IF(AM130=35,35,AM130+COUNTIF(AM$98:AM129,AM130)/COUNTIF(AM$98:AM$132,AM130))</f>
        <v>9</v>
      </c>
      <c r="AO130" s="1139">
        <f t="shared" si="9"/>
        <v>9</v>
      </c>
      <c r="AP130" s="1139" t="s">
        <v>389</v>
      </c>
      <c r="AQ130" s="1139">
        <f>IF(1*ISERROR(VLOOKUP(R130,C66:Q75,15,FALSE)-20)=1,0,VLOOKUP(R130,C66:Q75,15,FALSE)-20)</f>
        <v>0</v>
      </c>
      <c r="AR130" s="1139">
        <f>IF(1*ISERROR(VLOOKUP(R130,E66:Q75,13,FALSE)-20)=1,0,VLOOKUP(R130,E66:Q75,13,FALSE)-20)</f>
        <v>0</v>
      </c>
      <c r="AS130" s="1139">
        <f>IF(1*ISERROR(VLOOKUP(R130,G66:Q75,11,FALSE)-20)=1,0,VLOOKUP(R130,G66:Q75,11,FALSE)-20)</f>
        <v>0</v>
      </c>
      <c r="AT130" s="1139">
        <f>IF(1*ISERROR(VLOOKUP(R130,I66:Q75,9,FALSE)-20)=1,0,VLOOKUP(R130,I66:Q75,9,FALSE)-20)</f>
        <v>0</v>
      </c>
      <c r="AU130" s="1139">
        <f>IF(1*ISERROR(VLOOKUP(R130,K66:Q75,7,FALSE)-20)=1,0,VLOOKUP(R130,K66:Q75,7,FALSE)-20)</f>
        <v>0</v>
      </c>
      <c r="AV130" s="1139">
        <f>IF(1*ISERROR(VLOOKUP(R130,M66:Q75,5,FALSE)-20)=1,0,VLOOKUP(R130,M66:Q75,5,FALSE)-20)</f>
        <v>0</v>
      </c>
      <c r="AW130" s="1139">
        <f t="shared" si="16"/>
        <v>0</v>
      </c>
      <c r="AX130" s="1139">
        <f t="shared" si="10"/>
        <v>0</v>
      </c>
      <c r="AY130" s="1139">
        <f>IF(AX130=0,35,_xlfn.RANK.EQ(AX130,AX98:AX132))</f>
        <v>35</v>
      </c>
      <c r="AZ130" s="1139">
        <f>IF(AY130=35,35,AY130+COUNTIF(AY$98:AY129,AY130)/COUNTIF(AY$98:AY$132,AY130))</f>
        <v>35</v>
      </c>
      <c r="BA130" s="1139">
        <f t="shared" si="11"/>
        <v>13</v>
      </c>
      <c r="BB130" s="1139" t="s">
        <v>389</v>
      </c>
      <c r="BC130" s="1139">
        <f>IF(1*ISERROR(VLOOKUP(R130,C76:Q85,15,FALSE)-30)=1,0,VLOOKUP(R130,C76:Q85,15,FALSE)-30)</f>
        <v>0</v>
      </c>
      <c r="BD130" s="1139">
        <f>IF(1*ISERROR(VLOOKUP(R130,E76:Q85,13,FALSE)-30)=1,0,VLOOKUP(R130,E76:Q85,13,FALSE)-30)</f>
        <v>0</v>
      </c>
      <c r="BE130" s="1139">
        <f>IF(1*ISERROR(VLOOKUP(R130,G76:Q85,11,FALSE)-30)=1,0,VLOOKUP(R130,G76:Q85,11,FALSE)-30)</f>
        <v>0</v>
      </c>
      <c r="BF130" s="1139">
        <f>IF(1*ISERROR(VLOOKUP(R130,I76:Q85,9,FALSE)-30)=1,0,VLOOKUP(R130,I76:Q85,9,FALSE)-30)</f>
        <v>0</v>
      </c>
      <c r="BG130" s="1139">
        <f>IF(1*ISERROR(VLOOKUP(R130,K76:Q85,7,FALSE)-30)=1,0,VLOOKUP(R130,K76:Q85,7,FALSE)-30)</f>
        <v>0</v>
      </c>
      <c r="BH130" s="1139">
        <f>IF(1*ISERROR(VLOOKUP(R130,M76:Q85,5,FALSE)-30)=1,0,VLOOKUP(R130,M76:Q85,5,FALSE)-30)</f>
        <v>0</v>
      </c>
      <c r="BI130" s="1139">
        <f t="shared" si="28"/>
        <v>0</v>
      </c>
      <c r="BJ130" s="1139">
        <f t="shared" si="18"/>
        <v>0</v>
      </c>
      <c r="BK130" s="1139">
        <f t="shared" si="12"/>
        <v>35</v>
      </c>
      <c r="BL130" s="1139">
        <f>IF(BK130=35,35,BK130+COUNTIF(BK$98:BK129,BK130)/COUNTIF(BK$98:BK$132,BK130))</f>
        <v>35</v>
      </c>
      <c r="BM130" s="1139">
        <f t="shared" si="13"/>
        <v>13</v>
      </c>
      <c r="BN130" s="1139" t="s">
        <v>389</v>
      </c>
      <c r="BO130" s="1139">
        <f>IF(1*ISERROR(VLOOKUP(R130,C86:Q95,15,FALSE)-40)=1,0,VLOOKUP(R130,C86:Q95,15,FALSE)-40)</f>
        <v>0</v>
      </c>
      <c r="BP130" s="1139">
        <f>IF(1*ISERROR(VLOOKUP(R130,E86:Q95,13,FALSE)-40)=1,0,VLOOKUP(R130,E86:Q95,13,FALSE)-40)</f>
        <v>0</v>
      </c>
      <c r="BQ130" s="1139">
        <f>IF(1*ISERROR(VLOOKUP(R130,G86:Q95,11,FALSE)-40)=1,0,VLOOKUP(R130,G86:Q95,11,FALSE)-40)</f>
        <v>0</v>
      </c>
      <c r="BR130" s="1139">
        <f>IF(1*ISERROR(VLOOKUP(R130,I86:Q95,9,FALSE)-40)=1,0,VLOOKUP(R130,I86:Q95,9,FALSE)-40)</f>
        <v>0</v>
      </c>
      <c r="BS130" s="1139">
        <f>IF(1*ISERROR(VLOOKUP(R130,K86:Q95,7,FALSE)-40)=1,0,VLOOKUP(R130,K86:Q95,7,FALSE)-40)</f>
        <v>0</v>
      </c>
      <c r="BT130" s="1139">
        <f>IF(1*ISERROR(VLOOKUP(R130,M86:Q95,5,FALSE)-40)=1,0,VLOOKUP(R130,M86:Q95,5,FALSE)-40)</f>
        <v>0</v>
      </c>
      <c r="BU130" s="1139">
        <f t="shared" si="26"/>
        <v>0</v>
      </c>
      <c r="BV130" s="1139">
        <f t="shared" si="19"/>
        <v>0</v>
      </c>
      <c r="BW130" s="1139">
        <f>IF(BV130=0,35,_xlfn.RANK.EQ(BV130,BV98:BV132))</f>
        <v>35</v>
      </c>
      <c r="BX130" s="1139">
        <f>IF(BW130=35,35,BW130+COUNTIF(BW$98:BW129,BW130)/COUNTIF(BW$98:BW$132,BW130))</f>
        <v>35</v>
      </c>
      <c r="BY130" s="1139">
        <f t="shared" si="14"/>
        <v>11</v>
      </c>
      <c r="BZ130" s="1139" t="s">
        <v>389</v>
      </c>
      <c r="CA130" s="1098"/>
      <c r="CB130" s="1098"/>
      <c r="CC130" s="839"/>
    </row>
    <row r="131" spans="17:81" s="1086" customFormat="1">
      <c r="Q131" s="1138">
        <f t="shared" si="6"/>
        <v>34</v>
      </c>
      <c r="R131" s="1139" t="s">
        <v>398</v>
      </c>
      <c r="S131" s="1139">
        <f>IF(1*ISERROR(VLOOKUP(R131,C46:Q55,15,FALSE))=1,0,VLOOKUP(R131,C46:Q55,15,FALSE))</f>
        <v>0</v>
      </c>
      <c r="T131" s="1139">
        <f>IF(1*ISERROR(VLOOKUP(R131,E46:Q55,13,FALSE))=1,0,VLOOKUP(R131,E46:Q55,13,FALSE))</f>
        <v>0</v>
      </c>
      <c r="U131" s="1139">
        <f>IF(1*ISERROR(VLOOKUP(R131,G46:Q55,11,FALSE))=1,0,VLOOKUP(R131,G46:Q55,11,FALSE))</f>
        <v>0</v>
      </c>
      <c r="V131" s="1139">
        <f>IF(1*ISERROR(VLOOKUP(R131,I46:Q55,9,FALSE))=1,0,VLOOKUP(R131,I46:Q55,9,FALSE))</f>
        <v>0</v>
      </c>
      <c r="W131" s="1139">
        <f>IF(1*ISERROR(VLOOKUP(R131,K46:Q55,7,FALSE))=1,0,VLOOKUP(R131,K46:Q55,7,FALSE))</f>
        <v>0</v>
      </c>
      <c r="X131" s="1139">
        <f>IF(1*ISERROR(VLOOKUP(R131,M46:Q55,5,FALSE))=1,0,VLOOKUP(R131,M46:Q55,5,FALSE))</f>
        <v>0</v>
      </c>
      <c r="Y131" s="1139">
        <f>IF(1*ISERROR(VLOOKUP(R131,M48:Q57,5,FALSE))=1,0,VLOOKUP(R131,M48:Q57,5,FALSE))</f>
        <v>0</v>
      </c>
      <c r="Z131" s="1139">
        <f t="shared" si="7"/>
        <v>0</v>
      </c>
      <c r="AA131" s="1139">
        <f>IF(Z131=0,35,_xlfn.RANK.EQ(Z131,Z98:Z132))</f>
        <v>35</v>
      </c>
      <c r="AB131" s="1139">
        <f>IF(AA131=35,35,AA131+COUNTIF(AA$98:AA130,AA131)/COUNTIF(AA$98:AA$132,AA131))</f>
        <v>35</v>
      </c>
      <c r="AC131" s="1139">
        <f t="shared" si="8"/>
        <v>13</v>
      </c>
      <c r="AD131" s="1139" t="s">
        <v>398</v>
      </c>
      <c r="AE131" s="1139">
        <f>IF(1*ISERROR(VLOOKUP(R131,C56:Q65,15,FALSE)-10)=1,0,VLOOKUP(R131,C56:Q65,15,FALSE)-10)</f>
        <v>0</v>
      </c>
      <c r="AF131" s="1139">
        <f>IF(1*ISERROR(VLOOKUP(R131,E56:Q65,13,FALSE)-10)=1,0,VLOOKUP(R131,E56:Q65,13,FALSE)-10)</f>
        <v>0</v>
      </c>
      <c r="AG131" s="1139">
        <f>IF(1*ISERROR(VLOOKUP(R131,G56:Q65,11,FALSE)-10)=1,0,VLOOKUP(R131,G56:Q65,11,FALSE)-10)</f>
        <v>0</v>
      </c>
      <c r="AH131" s="1139">
        <f>IF(1*ISERROR(VLOOKUP(R131,I56:Q65,9,FALSE)-10)=1,0,VLOOKUP(R131,I56:Q65,9,FALSE)-10)</f>
        <v>0</v>
      </c>
      <c r="AI131" s="1139">
        <f>IF(1*ISERROR(VLOOKUP(R131,K56:Q65,7,FALSE)-10)=1,0,VLOOKUP(R131,K56:Q65,7,FALSE)-10)</f>
        <v>0</v>
      </c>
      <c r="AJ131" s="1139">
        <f>IF(1*ISERROR(VLOOKUP(R131,M56:Q65,5,FALSE)-10)=1,0,VLOOKUP(R131,M56:Q65,5,FALSE)-10)</f>
        <v>0</v>
      </c>
      <c r="AK131" s="1139">
        <f t="shared" si="17"/>
        <v>0</v>
      </c>
      <c r="AL131" s="1139">
        <f t="shared" si="15"/>
        <v>0</v>
      </c>
      <c r="AM131" s="1139">
        <f>IF(AL131=0,35,_xlfn.RANK.EQ(AL131,AL98:AL132))</f>
        <v>35</v>
      </c>
      <c r="AN131" s="1139">
        <f>IF(AM131=35,35,AM131+COUNTIF(AM$98:AM130,AM131)/COUNTIF(AM$98:AM$132,AM131))</f>
        <v>35</v>
      </c>
      <c r="AO131" s="1139">
        <f t="shared" si="9"/>
        <v>12</v>
      </c>
      <c r="AP131" s="1139" t="s">
        <v>398</v>
      </c>
      <c r="AQ131" s="1139">
        <f>IF(1*ISERROR(VLOOKUP(R131,C66:Q75,15,FALSE)-20)=1,0,VLOOKUP(R131,C66:Q75,15,FALSE)-20)</f>
        <v>0</v>
      </c>
      <c r="AR131" s="1139">
        <f>IF(1*ISERROR(VLOOKUP(R131,E66:Q75,13,FALSE)-20)=1,0,VLOOKUP(R131,E66:Q75,13,FALSE)-20)</f>
        <v>0</v>
      </c>
      <c r="AS131" s="1139">
        <f>IF(1*ISERROR(VLOOKUP(R131,G66:Q75,11,FALSE)-20)=1,0,VLOOKUP(R131,G66:Q75,11,FALSE)-20)</f>
        <v>0</v>
      </c>
      <c r="AT131" s="1139">
        <f>IF(1*ISERROR(VLOOKUP(R131,I66:Q75,9,FALSE)-20)=1,0,VLOOKUP(R131,I66:Q75,9,FALSE)-20)</f>
        <v>0</v>
      </c>
      <c r="AU131" s="1139">
        <f>IF(1*ISERROR(VLOOKUP(R131,K66:Q75,7,FALSE)-20)=1,0,VLOOKUP(R131,K66:Q75,7,FALSE)-20)</f>
        <v>0</v>
      </c>
      <c r="AV131" s="1139">
        <f>IF(1*ISERROR(VLOOKUP(R131,M66:Q75,5,FALSE)-20)=1,0,VLOOKUP(R131,M66:Q75,5,FALSE)-20)</f>
        <v>0</v>
      </c>
      <c r="AW131" s="1139">
        <f t="shared" si="16"/>
        <v>0</v>
      </c>
      <c r="AX131" s="1139">
        <f t="shared" si="10"/>
        <v>0</v>
      </c>
      <c r="AY131" s="1139">
        <f>IF(AX131=0,35,_xlfn.RANK.EQ(AX131,AX98:AX132))</f>
        <v>35</v>
      </c>
      <c r="AZ131" s="1139">
        <f>IF(AY131=35,35,AY131+COUNTIF(AY$98:AY130,AY131)/COUNTIF(AY$98:AY$132,AY131))</f>
        <v>35</v>
      </c>
      <c r="BA131" s="1139">
        <f t="shared" si="11"/>
        <v>13</v>
      </c>
      <c r="BB131" s="1139" t="s">
        <v>398</v>
      </c>
      <c r="BC131" s="1139">
        <f>IF(1*ISERROR(VLOOKUP(R131,C76:Q85,15,FALSE)-30)=1,0,VLOOKUP(R131,C76:Q85,15,FALSE)-30)</f>
        <v>0</v>
      </c>
      <c r="BD131" s="1139">
        <f>IF(1*ISERROR(VLOOKUP(R131,E76:Q85,13,FALSE)-30)=1,0,VLOOKUP(R131,E76:Q85,13,FALSE)-30)</f>
        <v>0</v>
      </c>
      <c r="BE131" s="1139">
        <f>IF(1*ISERROR(VLOOKUP(R131,G76:Q85,11,FALSE)-30)=1,0,VLOOKUP(R131,G76:Q85,11,FALSE)-30)</f>
        <v>0</v>
      </c>
      <c r="BF131" s="1139">
        <f>IF(1*ISERROR(VLOOKUP(R131,I76:Q85,9,FALSE)-30)=1,0,VLOOKUP(R131,I76:Q85,9,FALSE)-30)</f>
        <v>0</v>
      </c>
      <c r="BG131" s="1139">
        <f>IF(1*ISERROR(VLOOKUP(R131,K76:Q85,7,FALSE)-30)=1,0,VLOOKUP(R131,K76:Q85,7,FALSE)-30)</f>
        <v>0</v>
      </c>
      <c r="BH131" s="1139">
        <f>IF(1*ISERROR(VLOOKUP(R131,M76:Q85,5,FALSE)-30)=1,0,VLOOKUP(R131,M76:Q85,5,FALSE)-30)</f>
        <v>0</v>
      </c>
      <c r="BI131" s="1139">
        <f t="shared" si="28"/>
        <v>0</v>
      </c>
      <c r="BJ131" s="1139">
        <f t="shared" si="18"/>
        <v>0</v>
      </c>
      <c r="BK131" s="1139">
        <f t="shared" si="12"/>
        <v>35</v>
      </c>
      <c r="BL131" s="1139">
        <f>IF(BK131=35,35,BK131+COUNTIF(BK$98:BK130,BK131)/COUNTIF(BK$98:BK$132,BK131))</f>
        <v>35</v>
      </c>
      <c r="BM131" s="1139">
        <f t="shared" si="13"/>
        <v>13</v>
      </c>
      <c r="BN131" s="1139" t="s">
        <v>398</v>
      </c>
      <c r="BO131" s="1139">
        <f>IF(1*ISERROR(VLOOKUP(R131,C86:Q95,15,FALSE)-40)=1,0,VLOOKUP(R131,C86:Q95,15,FALSE)-40)</f>
        <v>0</v>
      </c>
      <c r="BP131" s="1139">
        <f>IF(1*ISERROR(VLOOKUP(R131,E86:Q95,13,FALSE)-40)=1,0,VLOOKUP(R131,E86:Q95,13,FALSE)-40)</f>
        <v>0</v>
      </c>
      <c r="BQ131" s="1139">
        <f>IF(1*ISERROR(VLOOKUP(R131,G86:Q95,11,FALSE)-40)=1,0,VLOOKUP(R131,G86:Q95,11,FALSE)-40)</f>
        <v>0</v>
      </c>
      <c r="BR131" s="1139">
        <f>IF(1*ISERROR(VLOOKUP(R131,I86:Q95,9,FALSE)-40)=1,0,VLOOKUP(R131,I86:Q95,9,FALSE)-40)</f>
        <v>0</v>
      </c>
      <c r="BS131" s="1139">
        <f>IF(1*ISERROR(VLOOKUP(R131,K86:Q95,7,FALSE)-40)=1,0,VLOOKUP(R131,K86:Q95,7,FALSE)-40)</f>
        <v>0</v>
      </c>
      <c r="BT131" s="1139">
        <f>IF(1*ISERROR(VLOOKUP(R131,M86:Q95,5,FALSE)-40)=1,0,VLOOKUP(R131,M86:Q95,5,FALSE)-40)</f>
        <v>0</v>
      </c>
      <c r="BU131" s="1139">
        <f t="shared" si="26"/>
        <v>0</v>
      </c>
      <c r="BV131" s="1139">
        <f t="shared" si="19"/>
        <v>0</v>
      </c>
      <c r="BW131" s="1139">
        <f>IF(BV131=0,35,_xlfn.RANK.EQ(BV131,BV98:BV132))</f>
        <v>35</v>
      </c>
      <c r="BX131" s="1139">
        <f>IF(BW131=35,35,BW131+COUNTIF(BW$98:BW130,BW131)/COUNTIF(BW$98:BW$132,BW131))</f>
        <v>35</v>
      </c>
      <c r="BY131" s="1139">
        <f t="shared" si="14"/>
        <v>11</v>
      </c>
      <c r="BZ131" s="1139" t="s">
        <v>398</v>
      </c>
      <c r="CA131" s="1098"/>
      <c r="CB131" s="1098"/>
      <c r="CC131" s="839"/>
    </row>
    <row r="132" spans="17:81" s="1086" customFormat="1">
      <c r="Q132" s="1138">
        <f t="shared" si="6"/>
        <v>35</v>
      </c>
      <c r="R132" s="1139" t="s">
        <v>395</v>
      </c>
      <c r="S132" s="1139">
        <f>IF(1*ISERROR(VLOOKUP(R132,C46:Q55,15,FALSE))=1,0,VLOOKUP(R132,C46:Q55,15,FALSE))</f>
        <v>9</v>
      </c>
      <c r="T132" s="1139">
        <f>IF(1*ISERROR(VLOOKUP(R132,E46:Q55,13,FALSE))=1,0,VLOOKUP(R132,E46:Q55,13,FALSE))</f>
        <v>9</v>
      </c>
      <c r="U132" s="1139">
        <f>IF(1*ISERROR(VLOOKUP(R132,G46:Q55,11,FALSE))=1,0,VLOOKUP(R132,G46:Q55,11,FALSE))</f>
        <v>0</v>
      </c>
      <c r="V132" s="1139">
        <f>IF(1*ISERROR(VLOOKUP(R132,I46:Q55,9,FALSE))=1,0,VLOOKUP(R132,I46:Q55,9,FALSE))</f>
        <v>10</v>
      </c>
      <c r="W132" s="1139">
        <f>IF(1*ISERROR(VLOOKUP(R132,K46:Q54,7,FALSE))=1,0,VLOOKUP(R132,K46:Q54,7,FALSE))</f>
        <v>9</v>
      </c>
      <c r="X132" s="1139">
        <f>IF(1*ISERROR(VLOOKUP(R132,M46:Q55,5,FALSE))=1,0,VLOOKUP(R132,M46:Q55,5,FALSE))</f>
        <v>0</v>
      </c>
      <c r="Y132" s="1139">
        <v>9</v>
      </c>
      <c r="Z132" s="1139">
        <f t="shared" si="7"/>
        <v>37</v>
      </c>
      <c r="AA132" s="1139">
        <f>IF(Z132=0,35,_xlfn.RANK.EQ(Z132,Z98:Z132))</f>
        <v>3</v>
      </c>
      <c r="AB132" s="1139">
        <f>IF(AA132=35,35,AA132+COUNTIF(AA$98:AA131,AA132)/COUNTIF(AA$98:AA$132,AA132))</f>
        <v>3</v>
      </c>
      <c r="AC132" s="1139">
        <f t="shared" si="8"/>
        <v>3</v>
      </c>
      <c r="AD132" s="1139" t="s">
        <v>395</v>
      </c>
      <c r="AE132" s="1139">
        <f>IF(1*ISERROR(VLOOKUP(R132,C56:Q65,15,FALSE)-10)=1,0,VLOOKUP(R132,C56:Q65,15,FALSE)-10)</f>
        <v>10</v>
      </c>
      <c r="AF132" s="1139">
        <f>IF(1*ISERROR(VLOOKUP(R132,E56:Q65,13,FALSE)-10)=1,0,VLOOKUP(R132,E56:Q65,13,FALSE)-10)</f>
        <v>10</v>
      </c>
      <c r="AG132" s="1139">
        <f>IF(1*ISERROR(VLOOKUP(R132,G56:Q65,11,FALSE)-10)=1,0,VLOOKUP(R132,G56:Q65,11,FALSE)-10)</f>
        <v>10</v>
      </c>
      <c r="AH132" s="1139">
        <f>IF(1*ISERROR(VLOOKUP(R132,I56:Q65,9,FALSE)-10)=1,0,VLOOKUP(R132,I56:Q65,9,FALSE)-10)</f>
        <v>10</v>
      </c>
      <c r="AI132" s="1139">
        <f>IF(1*ISERROR(VLOOKUP(R132,K56:Q65,7,FALSE)-10)=1,0,VLOOKUP(R132,K56:Q65,7,FALSE)-10)</f>
        <v>0</v>
      </c>
      <c r="AJ132" s="1139">
        <f>IF(1*ISERROR(VLOOKUP(R132,M56:Q65,5,FALSE)-10)=1,0,VLOOKUP(R132,M56:Q65,5,FALSE)-10)</f>
        <v>8</v>
      </c>
      <c r="AK132" s="1139">
        <f t="shared" si="17"/>
        <v>0</v>
      </c>
      <c r="AL132" s="1139">
        <f t="shared" si="15"/>
        <v>48</v>
      </c>
      <c r="AM132" s="1139">
        <f>IF(AL132=0,35,_xlfn.RANK.EQ(AL132,AL98:AL132))</f>
        <v>3</v>
      </c>
      <c r="AN132" s="1139">
        <f>IF(AM132=35,35,AM132+COUNTIF(AM$98:AM131,AM132)/COUNTIF(AM$98:AM$132,AM132))</f>
        <v>3</v>
      </c>
      <c r="AO132" s="1139">
        <f t="shared" si="9"/>
        <v>3</v>
      </c>
      <c r="AP132" s="1139" t="s">
        <v>395</v>
      </c>
      <c r="AQ132" s="1139">
        <f>IF(1*ISERROR(VLOOKUP(R132,C66:Q75,15,FALSE)-20)=1,0,VLOOKUP(R132,C66:Q75,15,FALSE)-20)</f>
        <v>4</v>
      </c>
      <c r="AR132" s="1139">
        <f>IF(1*ISERROR(VLOOKUP(R132,E66:Q75,13,FALSE)-20)=1,0,VLOOKUP(R132,E66:Q75,13,FALSE)-20)</f>
        <v>4</v>
      </c>
      <c r="AS132" s="1139">
        <f>IF(1*ISERROR(VLOOKUP(R132,G66:Q75,11,FALSE)-20)=1,0,VLOOKUP(R132,G66:Q75,11,FALSE)-20)</f>
        <v>5</v>
      </c>
      <c r="AT132" s="1139">
        <f>IF(1*ISERROR(VLOOKUP(R132,I66:Q75,9,FALSE)-20)=1,0,VLOOKUP(R132,I66:Q75,9,FALSE)-20)</f>
        <v>5</v>
      </c>
      <c r="AU132" s="1139">
        <f>IF(1*ISERROR(VLOOKUP(R132,K66:Q75,7,FALSE)-20)=1,0,VLOOKUP(R132,K66:Q75,7,FALSE)-20)</f>
        <v>4</v>
      </c>
      <c r="AV132" s="1139">
        <f>IF(1*ISERROR(VLOOKUP(R132,M66:Q75,5,FALSE)-20)=1,0,VLOOKUP(R132,M66:Q75,5,FALSE)-20)</f>
        <v>5</v>
      </c>
      <c r="AW132" s="1139">
        <v>8</v>
      </c>
      <c r="AX132" s="1139">
        <f t="shared" si="10"/>
        <v>35</v>
      </c>
      <c r="AY132" s="1139">
        <f>IF(AX132=0,35,_xlfn.RANK.EQ(AX132,AX98:AX132))</f>
        <v>6</v>
      </c>
      <c r="AZ132" s="1139">
        <f>IF(AY132=35,35,AY132+COUNTIF(AY$98:AY131,AY132)/COUNTIF(AY$98:AY$132,AY132))</f>
        <v>6</v>
      </c>
      <c r="BA132" s="1139">
        <f t="shared" si="11"/>
        <v>6</v>
      </c>
      <c r="BB132" s="1139" t="s">
        <v>395</v>
      </c>
      <c r="BC132" s="1139">
        <f>IF(1*ISERROR(VLOOKUP(R132,C76:Q85,15,FALSE)-30)=1,0,VLOOKUP(R132,C76:Q85,15,FALSE)-30)</f>
        <v>6</v>
      </c>
      <c r="BD132" s="1139">
        <f>IF(1*ISERROR(VLOOKUP(R132,E76:Q85,13,FALSE)-30)=1,0,VLOOKUP(R132,E76:Q85,13,FALSE)-30)</f>
        <v>6</v>
      </c>
      <c r="BE132" s="1139">
        <f>IF(1*ISERROR(VLOOKUP(R132,G76:Q85,11,FALSE)-30)=1,0,VLOOKUP(R132,G76:Q85,11,FALSE)-30)</f>
        <v>6</v>
      </c>
      <c r="BF132" s="1139">
        <f>IF(1*ISERROR(VLOOKUP(R132,I76:Q85,9,FALSE)-30)=1,0,VLOOKUP(R132,I76:Q85,9,FALSE)-30)</f>
        <v>6</v>
      </c>
      <c r="BG132" s="1139">
        <f>IF(1*ISERROR(VLOOKUP(R132,K76:Q85,7,FALSE)-30)=1,0,VLOOKUP(R132,K76:Q85,7,FALSE)-30)</f>
        <v>6</v>
      </c>
      <c r="BH132" s="1139">
        <f>IF(1*ISERROR(VLOOKUP(R132,M76:Q85,5,FALSE)-30)=1,0,VLOOKUP(R132,M76:Q85,5,FALSE)-30)</f>
        <v>6</v>
      </c>
      <c r="BI132" s="1139">
        <v>10</v>
      </c>
      <c r="BJ132" s="1139">
        <f t="shared" si="18"/>
        <v>36</v>
      </c>
      <c r="BK132" s="1139">
        <f t="shared" si="12"/>
        <v>3</v>
      </c>
      <c r="BL132" s="1139">
        <f>IF(BK132=35,35,BK132+COUNTIF(BK$98:BK131,BK132)/COUNTIF(BK$98:BK$132,BK132))</f>
        <v>3</v>
      </c>
      <c r="BM132" s="1139">
        <f t="shared" si="13"/>
        <v>3</v>
      </c>
      <c r="BN132" s="1139" t="s">
        <v>395</v>
      </c>
      <c r="BO132" s="1139">
        <f>IF(1*ISERROR(VLOOKUP(R132,C86:Q95,15,FALSE)-40)=1,0,VLOOKUP(R132,C86:Q95,15,FALSE)-40)</f>
        <v>0</v>
      </c>
      <c r="BP132" s="1139">
        <f>IF(1*ISERROR(VLOOKUP(R132,E86:Q95,13,FALSE)-40)=1,0,VLOOKUP(R132,E86:Q95,13,FALSE)-40)</f>
        <v>0</v>
      </c>
      <c r="BQ132" s="1139">
        <f>IF(1*ISERROR(VLOOKUP(R132,G86:Q95,11,FALSE)-40)=1,0,VLOOKUP(R132,G86:Q95,11,FALSE)-40)</f>
        <v>0</v>
      </c>
      <c r="BR132" s="1139">
        <f>IF(1*ISERROR(VLOOKUP(R132,I86:Q95,9,FALSE)-40)=1,0,VLOOKUP(R132,I86:Q95,9,FALSE)-40)</f>
        <v>0</v>
      </c>
      <c r="BS132" s="1139">
        <f>IF(1*ISERROR(VLOOKUP(R132,K86:Q95,7,FALSE)-40)=1,0,VLOOKUP(R132,K86:Q95,7,FALSE)-40)</f>
        <v>0</v>
      </c>
      <c r="BT132" s="1139">
        <f>IF(1*ISERROR(VLOOKUP(R132,M86:Q95,5,FALSE)-40)=1,0,VLOOKUP(R132,M86:Q95,5,FALSE)-40)</f>
        <v>0</v>
      </c>
      <c r="BU132" s="1139">
        <f t="shared" si="26"/>
        <v>0</v>
      </c>
      <c r="BV132" s="1139">
        <f t="shared" si="19"/>
        <v>0</v>
      </c>
      <c r="BW132" s="1139">
        <f>IF(BV132=0,35,_xlfn.RANK.EQ(BV132,BV98:BV132))</f>
        <v>35</v>
      </c>
      <c r="BX132" s="1139">
        <f>IF(BW132=35,35,BW132+COUNTIF(BW$98:BW131,BW132)/COUNTIF(BW$98:BW$132,BW132))</f>
        <v>35</v>
      </c>
      <c r="BY132" s="1139">
        <f t="shared" si="14"/>
        <v>11</v>
      </c>
      <c r="BZ132" s="1139" t="s">
        <v>395</v>
      </c>
      <c r="CA132" s="1098"/>
      <c r="CB132" s="1098"/>
      <c r="CC132" s="839"/>
    </row>
    <row r="133" spans="17:81" s="1086" customFormat="1">
      <c r="Q133" s="1138">
        <f t="shared" si="6"/>
        <v>36</v>
      </c>
      <c r="R133" s="1139"/>
      <c r="S133" s="1139"/>
      <c r="T133" s="1139"/>
      <c r="U133" s="1139"/>
      <c r="V133" s="1139"/>
      <c r="W133" s="1139"/>
      <c r="X133" s="1139"/>
      <c r="Y133" s="1139"/>
      <c r="Z133" s="1139"/>
      <c r="AA133" s="1139">
        <f>_xlfn.MAXIFS(AA$98:AA$132,AA$98:AA$132,"&lt;35")</f>
        <v>11</v>
      </c>
      <c r="AB133" s="1139"/>
      <c r="AC133" s="1139">
        <f>_xlfn.MAXIFS(AC$98:AC$132,AC$98:AC$132,"&lt;35")</f>
        <v>13</v>
      </c>
      <c r="AD133" s="1139"/>
      <c r="AE133" s="1139"/>
      <c r="AF133" s="1139"/>
      <c r="AG133" s="1139"/>
      <c r="AH133" s="1139"/>
      <c r="AI133" s="1139"/>
      <c r="AJ133" s="1139"/>
      <c r="AK133" s="1139"/>
      <c r="AL133" s="1139"/>
      <c r="AM133" s="1139">
        <f>_xlfn.MAXIFS(AM$98:AM$132,AM$98:AM$132,"&lt;35")</f>
        <v>11</v>
      </c>
      <c r="AN133" s="1139"/>
      <c r="AO133" s="1139">
        <f>_xlfn.MAXIFS(AO$98:AO$132,AO$98:AO$132,"&lt;35")</f>
        <v>12</v>
      </c>
      <c r="AP133" s="1139"/>
      <c r="AQ133" s="1139"/>
      <c r="AR133" s="1139"/>
      <c r="AS133" s="1139"/>
      <c r="AT133" s="1139"/>
      <c r="AU133" s="1139"/>
      <c r="AV133" s="1139"/>
      <c r="AW133" s="1139"/>
      <c r="AX133" s="1139"/>
      <c r="AY133" s="1139">
        <f>_xlfn.MAXIFS(AY$98:AY$132,AY$98:AY$132,"&lt;35")+1</f>
        <v>13</v>
      </c>
      <c r="AZ133" s="1139"/>
      <c r="BA133" s="1139">
        <f>_xlfn.MAXIFS(BA$98:BA$132,BA$98:BA$132,"&lt;35")</f>
        <v>13</v>
      </c>
      <c r="BB133" s="1139"/>
      <c r="BC133" s="1139"/>
      <c r="BD133" s="1139"/>
      <c r="BE133" s="1139"/>
      <c r="BF133" s="1139"/>
      <c r="BG133" s="1139"/>
      <c r="BH133" s="1139"/>
      <c r="BI133" s="1139"/>
      <c r="BJ133" s="1139"/>
      <c r="BK133" s="1139">
        <f>_xlfn.MAXIFS(BK$98:BK$132,BK$98:BK$132,"&lt;35")</f>
        <v>11</v>
      </c>
      <c r="BL133" s="1139"/>
      <c r="BM133" s="1139">
        <f>_xlfn.MAXIFS(BM$98:BM$132,BM$98:BM$132,"&lt;35")</f>
        <v>13</v>
      </c>
      <c r="BN133" s="1139"/>
      <c r="BO133" s="1139"/>
      <c r="BP133" s="1139"/>
      <c r="BQ133" s="1139"/>
      <c r="BR133" s="1139"/>
      <c r="BS133" s="1139"/>
      <c r="BT133" s="1139"/>
      <c r="BU133" s="1139"/>
      <c r="BV133" s="1139"/>
      <c r="BW133" s="1139">
        <f>_xlfn.MAXIFS(BW$98:BW$132,BW$98:BW$132,"&lt;35")</f>
        <v>10</v>
      </c>
      <c r="BX133" s="1139"/>
      <c r="BY133" s="1139">
        <f>_xlfn.MAXIFS(BY$98:BY$132,BY$98:BY$132,"&lt;35")</f>
        <v>11</v>
      </c>
      <c r="BZ133" s="1098"/>
      <c r="CA133" s="1098"/>
      <c r="CB133" s="1098"/>
      <c r="CC133" s="839"/>
    </row>
    <row r="134" spans="17:81" s="1086" customFormat="1">
      <c r="Q134" s="1138">
        <f t="shared" si="6"/>
        <v>37</v>
      </c>
      <c r="R134" s="1139"/>
      <c r="S134" s="1139"/>
      <c r="T134" s="1139"/>
      <c r="U134" s="1139"/>
      <c r="V134" s="1139"/>
      <c r="W134" s="1139"/>
      <c r="X134" s="1139"/>
      <c r="Y134" s="1139"/>
      <c r="Z134" s="1139"/>
      <c r="AA134" s="1139"/>
      <c r="AB134" s="1139"/>
      <c r="AC134" s="1139"/>
      <c r="AD134" s="1139"/>
      <c r="AE134" s="1139"/>
      <c r="AF134" s="1139"/>
      <c r="AG134" s="1139"/>
      <c r="AH134" s="1139"/>
      <c r="AI134" s="1139"/>
      <c r="AJ134" s="1139"/>
      <c r="AK134" s="1139"/>
      <c r="AL134" s="1139"/>
      <c r="AM134" s="1139"/>
      <c r="AN134" s="1139"/>
      <c r="AO134" s="1139"/>
      <c r="AP134" s="1139"/>
      <c r="AQ134" s="1139"/>
      <c r="AR134" s="1139"/>
      <c r="AS134" s="1139"/>
      <c r="AT134" s="1139"/>
      <c r="AU134" s="1139"/>
      <c r="AV134" s="1139"/>
      <c r="AW134" s="1139"/>
      <c r="AX134" s="1139"/>
      <c r="AY134" s="1139"/>
      <c r="AZ134" s="1139"/>
      <c r="BA134" s="1139"/>
      <c r="BB134" s="1139"/>
      <c r="BC134" s="1139"/>
      <c r="BD134" s="1139"/>
      <c r="BE134" s="1139"/>
      <c r="BF134" s="1139"/>
      <c r="BG134" s="1139"/>
      <c r="BH134" s="1139"/>
      <c r="BI134" s="1139"/>
      <c r="BJ134" s="1139"/>
      <c r="BK134" s="1139">
        <v>11</v>
      </c>
      <c r="BL134" s="1139"/>
      <c r="BM134" s="1139"/>
      <c r="BN134" s="1139"/>
      <c r="BO134" s="1139"/>
      <c r="BP134" s="1139"/>
      <c r="BQ134" s="1139"/>
      <c r="BR134" s="1139"/>
      <c r="BS134" s="1139"/>
      <c r="BT134" s="1139"/>
      <c r="BU134" s="1139"/>
      <c r="BV134" s="1139"/>
      <c r="BW134" s="1139"/>
      <c r="BX134" s="1139"/>
      <c r="BY134" s="1098"/>
      <c r="BZ134" s="1098"/>
      <c r="CA134" s="1098"/>
      <c r="CB134" s="1098"/>
      <c r="CC134" s="839"/>
    </row>
    <row r="135" spans="17:81" s="1086" customFormat="1">
      <c r="Q135" s="1113">
        <f t="shared" si="6"/>
        <v>38</v>
      </c>
      <c r="R135" s="1135"/>
      <c r="S135" s="1135"/>
      <c r="T135" s="1135"/>
      <c r="U135" s="1135"/>
      <c r="V135" s="1135"/>
      <c r="W135" s="1135"/>
      <c r="X135" s="1135"/>
      <c r="Y135" s="1135"/>
      <c r="Z135" s="1135"/>
      <c r="AA135" s="1135"/>
      <c r="AB135" s="1135"/>
      <c r="AC135" s="1135"/>
      <c r="AD135" s="1135"/>
      <c r="AE135" s="1135"/>
      <c r="AF135" s="1135"/>
      <c r="AG135" s="1135"/>
      <c r="AH135" s="1135"/>
      <c r="AI135" s="1135"/>
      <c r="AJ135" s="1135"/>
      <c r="AK135" s="1135"/>
      <c r="AL135" s="1135"/>
      <c r="AM135" s="1135"/>
      <c r="AN135" s="1135"/>
      <c r="AO135" s="1135"/>
      <c r="AP135" s="1135"/>
      <c r="AQ135" s="1135"/>
      <c r="AR135" s="1135"/>
      <c r="AS135" s="1135"/>
      <c r="AT135" s="1135"/>
      <c r="AU135" s="1135"/>
      <c r="AV135" s="1135"/>
      <c r="AW135" s="1135"/>
      <c r="AX135" s="1135"/>
      <c r="AY135" s="1135"/>
      <c r="AZ135" s="1135"/>
      <c r="BA135" s="1135"/>
      <c r="BB135" s="1135"/>
      <c r="BC135" s="1135"/>
      <c r="BD135" s="1135"/>
      <c r="BE135" s="1135"/>
      <c r="BF135" s="1135"/>
      <c r="BG135" s="1135"/>
      <c r="BH135" s="1135"/>
      <c r="BI135" s="1135"/>
      <c r="BJ135" s="1135"/>
      <c r="BK135" s="1135"/>
      <c r="BL135" s="1135"/>
      <c r="BM135" s="1135"/>
      <c r="BN135" s="1135"/>
      <c r="BO135" s="1135"/>
      <c r="BP135" s="1135"/>
      <c r="BQ135" s="1135"/>
      <c r="BR135" s="1135"/>
      <c r="BS135" s="1135"/>
      <c r="BT135" s="1135"/>
      <c r="BU135" s="1135"/>
      <c r="BV135" s="1135"/>
      <c r="BW135" s="1135"/>
      <c r="BX135" s="1135"/>
      <c r="CC135" s="1091"/>
    </row>
    <row r="136" spans="17:81" s="1086" customFormat="1">
      <c r="Q136" s="1113">
        <f t="shared" si="6"/>
        <v>39</v>
      </c>
      <c r="R136" s="1135"/>
      <c r="S136" s="1135"/>
      <c r="T136" s="1135"/>
      <c r="U136" s="1135"/>
      <c r="V136" s="1135"/>
      <c r="W136" s="1135"/>
      <c r="X136" s="1135"/>
      <c r="Y136" s="1135"/>
      <c r="Z136" s="1135"/>
      <c r="AA136" s="1135"/>
      <c r="AB136" s="1135"/>
      <c r="AC136" s="1135"/>
      <c r="AD136" s="1135"/>
      <c r="AE136" s="1135"/>
      <c r="AF136" s="1135"/>
      <c r="AG136" s="1135"/>
      <c r="AH136" s="1135"/>
      <c r="AI136" s="1135"/>
      <c r="AJ136" s="1135"/>
      <c r="AK136" s="1135"/>
      <c r="AL136" s="1135"/>
      <c r="AM136" s="1135"/>
      <c r="AN136" s="1135"/>
      <c r="AO136" s="1135"/>
      <c r="AP136" s="1135"/>
      <c r="AQ136" s="1135"/>
      <c r="AR136" s="1135"/>
      <c r="AS136" s="1135"/>
      <c r="AT136" s="1135"/>
      <c r="AU136" s="1135"/>
      <c r="AV136" s="1135"/>
      <c r="AW136" s="1135"/>
      <c r="AX136" s="1135"/>
      <c r="AY136" s="1135"/>
      <c r="AZ136" s="1135"/>
      <c r="BA136" s="1135"/>
      <c r="BB136" s="1135"/>
      <c r="BC136" s="1135"/>
      <c r="BD136" s="1135"/>
      <c r="BE136" s="1135"/>
      <c r="BF136" s="1135"/>
      <c r="BG136" s="1135"/>
      <c r="BH136" s="1135"/>
      <c r="BI136" s="1135"/>
      <c r="BJ136" s="1135"/>
      <c r="BK136" s="1135"/>
      <c r="BL136" s="1135"/>
      <c r="BM136" s="1135"/>
      <c r="BN136" s="1135"/>
      <c r="BO136" s="1135"/>
      <c r="BP136" s="1135"/>
      <c r="BQ136" s="1135"/>
      <c r="BR136" s="1135"/>
      <c r="BS136" s="1135"/>
      <c r="BT136" s="1135"/>
      <c r="BU136" s="1135"/>
      <c r="BV136" s="1135"/>
      <c r="BW136" s="1135"/>
      <c r="BX136" s="1135"/>
      <c r="CC136" s="1091"/>
    </row>
    <row r="137" spans="17:81" s="1086" customFormat="1">
      <c r="Q137" s="1113">
        <f t="shared" si="6"/>
        <v>40</v>
      </c>
      <c r="R137" s="1135"/>
      <c r="S137" s="1135"/>
      <c r="T137" s="1135"/>
      <c r="U137" s="1135"/>
      <c r="V137" s="1135"/>
      <c r="W137" s="1135"/>
      <c r="X137" s="1135"/>
      <c r="Y137" s="1135"/>
      <c r="Z137" s="1135"/>
      <c r="AA137" s="1135"/>
      <c r="AB137" s="1135"/>
      <c r="AC137" s="1135"/>
      <c r="AD137" s="1135"/>
      <c r="AE137" s="1135"/>
      <c r="AF137" s="1135"/>
      <c r="AG137" s="1135"/>
      <c r="AH137" s="1135"/>
      <c r="AI137" s="1135"/>
      <c r="AJ137" s="1135"/>
      <c r="AK137" s="1135"/>
      <c r="AL137" s="1135"/>
      <c r="AM137" s="1135"/>
      <c r="AN137" s="1135"/>
      <c r="AO137" s="1135"/>
      <c r="AP137" s="1135"/>
      <c r="AQ137" s="1135"/>
      <c r="AR137" s="1135"/>
      <c r="AS137" s="1135"/>
      <c r="AT137" s="1135"/>
      <c r="AU137" s="1135"/>
      <c r="AV137" s="1135"/>
      <c r="AW137" s="1135"/>
      <c r="AX137" s="1135"/>
      <c r="AY137" s="1135"/>
      <c r="AZ137" s="1135"/>
      <c r="BA137" s="1135"/>
      <c r="BB137" s="1135"/>
      <c r="BC137" s="1135"/>
      <c r="BD137" s="1135"/>
      <c r="BE137" s="1135"/>
      <c r="BF137" s="1135"/>
      <c r="BG137" s="1135"/>
      <c r="BH137" s="1135"/>
      <c r="BI137" s="1135"/>
      <c r="BJ137" s="1135"/>
      <c r="BK137" s="1135"/>
      <c r="BL137" s="1135"/>
      <c r="BM137" s="1135"/>
      <c r="BN137" s="1135"/>
      <c r="BO137" s="1135"/>
      <c r="BP137" s="1135"/>
      <c r="BQ137" s="1135"/>
      <c r="BR137" s="1135"/>
      <c r="BS137" s="1135"/>
      <c r="BT137" s="1135"/>
      <c r="BU137" s="1135"/>
      <c r="BV137" s="1135"/>
      <c r="BW137" s="1135"/>
      <c r="BX137" s="1135"/>
      <c r="CC137" s="1091"/>
    </row>
    <row r="138" spans="17:81" s="1086" customFormat="1">
      <c r="Q138" s="1113">
        <f t="shared" si="6"/>
        <v>41</v>
      </c>
      <c r="R138" s="1135"/>
      <c r="S138" s="1135"/>
      <c r="T138" s="1135"/>
      <c r="U138" s="1135"/>
      <c r="V138" s="1135"/>
      <c r="W138" s="1135"/>
      <c r="X138" s="1135"/>
      <c r="Y138" s="1135"/>
      <c r="Z138" s="1135"/>
      <c r="AA138" s="1135"/>
      <c r="AB138" s="1135"/>
      <c r="AC138" s="1135"/>
      <c r="AD138" s="1135"/>
      <c r="AE138" s="1135"/>
      <c r="AF138" s="1135"/>
      <c r="AG138" s="1135"/>
      <c r="AH138" s="1135"/>
      <c r="AI138" s="1135"/>
      <c r="AJ138" s="1135"/>
      <c r="AK138" s="1135"/>
      <c r="AL138" s="1135"/>
      <c r="AM138" s="1135"/>
      <c r="AN138" s="1135"/>
      <c r="AO138" s="1135"/>
      <c r="AP138" s="1135"/>
      <c r="AQ138" s="1135"/>
      <c r="AR138" s="1135"/>
      <c r="AS138" s="1135"/>
      <c r="AT138" s="1135"/>
      <c r="AU138" s="1135"/>
      <c r="AV138" s="1135"/>
      <c r="AW138" s="1135"/>
      <c r="AX138" s="1135"/>
      <c r="AY138" s="1135"/>
      <c r="AZ138" s="1135"/>
      <c r="BA138" s="1135"/>
      <c r="BB138" s="1135"/>
      <c r="BC138" s="1135"/>
      <c r="BD138" s="1135"/>
      <c r="BE138" s="1135"/>
      <c r="BF138" s="1135"/>
      <c r="BG138" s="1135"/>
      <c r="BH138" s="1135"/>
      <c r="BI138" s="1135"/>
      <c r="BJ138" s="1135"/>
      <c r="BK138" s="1135"/>
      <c r="BL138" s="1135"/>
      <c r="BM138" s="1135"/>
      <c r="BN138" s="1135"/>
      <c r="BO138" s="1135"/>
      <c r="BP138" s="1135"/>
      <c r="BQ138" s="1135"/>
      <c r="BR138" s="1135"/>
      <c r="BS138" s="1135"/>
      <c r="BT138" s="1135"/>
      <c r="BU138" s="1135"/>
      <c r="BV138" s="1135"/>
      <c r="BW138" s="1135"/>
      <c r="BX138" s="1135"/>
      <c r="CC138" s="1091"/>
    </row>
    <row r="139" spans="17:81" s="1086" customFormat="1">
      <c r="Q139" s="1113">
        <f t="shared" si="6"/>
        <v>42</v>
      </c>
      <c r="R139" s="1135"/>
      <c r="S139" s="1135"/>
      <c r="T139" s="1135"/>
      <c r="U139" s="1135"/>
      <c r="V139" s="1135"/>
      <c r="W139" s="1135"/>
      <c r="X139" s="1135"/>
      <c r="Y139" s="1135"/>
      <c r="Z139" s="1135"/>
      <c r="AA139" s="1135"/>
      <c r="AB139" s="1135"/>
      <c r="AC139" s="1135"/>
      <c r="AD139" s="1135"/>
      <c r="AE139" s="1135"/>
      <c r="AF139" s="1135"/>
      <c r="AG139" s="1135"/>
      <c r="AH139" s="1135"/>
      <c r="AI139" s="1135"/>
      <c r="AJ139" s="1135"/>
      <c r="AK139" s="1135"/>
      <c r="AL139" s="1135"/>
      <c r="AM139" s="1135"/>
      <c r="AN139" s="1135"/>
      <c r="AO139" s="1135"/>
      <c r="AP139" s="1135"/>
      <c r="AQ139" s="1135"/>
      <c r="AR139" s="1135"/>
      <c r="AS139" s="1135"/>
      <c r="AT139" s="1135"/>
      <c r="AU139" s="1135"/>
      <c r="AV139" s="1135"/>
      <c r="AW139" s="1135"/>
      <c r="AX139" s="1135"/>
      <c r="AY139" s="1135"/>
      <c r="AZ139" s="1135"/>
      <c r="BA139" s="1135"/>
      <c r="BB139" s="1135"/>
      <c r="BC139" s="1135"/>
      <c r="BD139" s="1135"/>
      <c r="BE139" s="1135"/>
      <c r="BF139" s="1135"/>
      <c r="BG139" s="1135"/>
      <c r="BH139" s="1135"/>
      <c r="BI139" s="1135"/>
      <c r="BJ139" s="1135"/>
      <c r="BK139" s="1135"/>
      <c r="BL139" s="1135"/>
      <c r="BM139" s="1135"/>
      <c r="BN139" s="1135"/>
      <c r="BO139" s="1135"/>
      <c r="BP139" s="1135"/>
      <c r="BQ139" s="1135"/>
      <c r="BR139" s="1135"/>
      <c r="BS139" s="1135"/>
      <c r="BT139" s="1135"/>
      <c r="BU139" s="1135"/>
      <c r="BV139" s="1135"/>
      <c r="BW139" s="1135"/>
      <c r="BX139" s="1135"/>
      <c r="CC139" s="1091"/>
    </row>
    <row r="140" spans="17:81" s="1086" customFormat="1">
      <c r="Q140" s="1113">
        <f t="shared" si="6"/>
        <v>43</v>
      </c>
      <c r="R140" s="1135"/>
      <c r="S140" s="1135"/>
      <c r="T140" s="1135"/>
      <c r="U140" s="1135"/>
      <c r="V140" s="1135"/>
      <c r="W140" s="1135"/>
      <c r="X140" s="1135"/>
      <c r="Y140" s="1135"/>
      <c r="Z140" s="1135"/>
      <c r="AA140" s="1135"/>
      <c r="AB140" s="1135"/>
      <c r="AC140" s="1135"/>
      <c r="AD140" s="1135"/>
      <c r="AE140" s="1135"/>
      <c r="AF140" s="1135"/>
      <c r="AG140" s="1135"/>
      <c r="AH140" s="1135"/>
      <c r="AI140" s="1135"/>
      <c r="AJ140" s="1135"/>
      <c r="AK140" s="1135"/>
      <c r="AL140" s="1135"/>
      <c r="AM140" s="1135"/>
      <c r="AN140" s="1135"/>
      <c r="AO140" s="1135"/>
      <c r="AP140" s="1135"/>
      <c r="AQ140" s="1135"/>
      <c r="AR140" s="1135"/>
      <c r="AS140" s="1135"/>
      <c r="AT140" s="1135"/>
      <c r="AU140" s="1135"/>
      <c r="AV140" s="1135"/>
      <c r="AW140" s="1135"/>
      <c r="AX140" s="1135"/>
      <c r="AY140" s="1135"/>
      <c r="AZ140" s="1135"/>
      <c r="BA140" s="1135"/>
      <c r="BB140" s="1135"/>
      <c r="BC140" s="1135"/>
      <c r="BD140" s="1135"/>
      <c r="BE140" s="1135"/>
      <c r="BF140" s="1135"/>
      <c r="BG140" s="1135"/>
      <c r="BH140" s="1135"/>
      <c r="BI140" s="1135"/>
      <c r="BJ140" s="1135"/>
      <c r="BK140" s="1135"/>
      <c r="BL140" s="1135"/>
      <c r="BM140" s="1135"/>
      <c r="BN140" s="1135"/>
      <c r="BO140" s="1135"/>
      <c r="BP140" s="1135"/>
      <c r="BQ140" s="1135"/>
      <c r="BR140" s="1135"/>
      <c r="BS140" s="1135"/>
      <c r="BT140" s="1135"/>
      <c r="BU140" s="1135"/>
      <c r="BV140" s="1135"/>
      <c r="BW140" s="1135"/>
      <c r="BX140" s="1135"/>
      <c r="CC140" s="1091"/>
    </row>
    <row r="141" spans="17:81" s="1086" customFormat="1">
      <c r="Q141" s="1113">
        <f t="shared" si="6"/>
        <v>44</v>
      </c>
      <c r="R141" s="1135"/>
      <c r="S141" s="1135"/>
      <c r="T141" s="1135"/>
      <c r="U141" s="1135"/>
      <c r="V141" s="1135"/>
      <c r="W141" s="1135"/>
      <c r="X141" s="1135"/>
      <c r="Y141" s="1135"/>
      <c r="Z141" s="1135"/>
      <c r="AA141" s="1135"/>
      <c r="AB141" s="1135"/>
      <c r="AC141" s="1135"/>
      <c r="AD141" s="1135"/>
      <c r="AE141" s="1135"/>
      <c r="AF141" s="1135"/>
      <c r="AG141" s="1135"/>
      <c r="AH141" s="1135"/>
      <c r="AI141" s="1135"/>
      <c r="AJ141" s="1135"/>
      <c r="AK141" s="1135"/>
      <c r="AL141" s="1135"/>
      <c r="AM141" s="1135"/>
      <c r="AN141" s="1135"/>
      <c r="AO141" s="1135"/>
      <c r="AP141" s="1135"/>
      <c r="AQ141" s="1135"/>
      <c r="AR141" s="1135"/>
      <c r="AS141" s="1135"/>
      <c r="AT141" s="1135"/>
      <c r="AU141" s="1135"/>
      <c r="AV141" s="1135"/>
      <c r="AW141" s="1135"/>
      <c r="AX141" s="1135"/>
      <c r="AY141" s="1135"/>
      <c r="AZ141" s="1135"/>
      <c r="BA141" s="1135"/>
      <c r="BB141" s="1135"/>
      <c r="BC141" s="1135"/>
      <c r="BD141" s="1135"/>
      <c r="BE141" s="1135"/>
      <c r="BF141" s="1135"/>
      <c r="BG141" s="1135"/>
      <c r="BH141" s="1135"/>
      <c r="BI141" s="1135"/>
      <c r="BJ141" s="1135"/>
      <c r="BK141" s="1135"/>
      <c r="BL141" s="1135"/>
      <c r="BM141" s="1135"/>
      <c r="BN141" s="1135"/>
      <c r="BO141" s="1135"/>
      <c r="BP141" s="1135"/>
      <c r="BQ141" s="1135"/>
      <c r="BR141" s="1135"/>
      <c r="BS141" s="1135"/>
      <c r="BT141" s="1135"/>
      <c r="BU141" s="1135"/>
      <c r="BV141" s="1135"/>
      <c r="BW141" s="1135"/>
      <c r="BX141" s="1135"/>
      <c r="CC141" s="1091"/>
    </row>
    <row r="142" spans="17:81" s="1086" customFormat="1">
      <c r="Q142" s="1113">
        <f t="shared" si="6"/>
        <v>45</v>
      </c>
      <c r="R142" s="1135"/>
      <c r="S142" s="1135"/>
      <c r="T142" s="1135"/>
      <c r="U142" s="1135"/>
      <c r="V142" s="1135"/>
      <c r="W142" s="1135"/>
      <c r="X142" s="1135"/>
      <c r="Y142" s="1135"/>
      <c r="Z142" s="1135"/>
      <c r="AA142" s="1135"/>
      <c r="AB142" s="1135"/>
      <c r="AC142" s="1135"/>
      <c r="AD142" s="1135"/>
      <c r="AE142" s="1135"/>
      <c r="AF142" s="1135"/>
      <c r="AG142" s="1135"/>
      <c r="AH142" s="1135"/>
      <c r="AI142" s="1135"/>
      <c r="AJ142" s="1135"/>
      <c r="AK142" s="1135"/>
      <c r="AL142" s="1135"/>
      <c r="AM142" s="1135"/>
      <c r="AN142" s="1135"/>
      <c r="AO142" s="1135"/>
      <c r="AP142" s="1135"/>
      <c r="AQ142" s="1135"/>
      <c r="AR142" s="1135"/>
      <c r="AS142" s="1135"/>
      <c r="AT142" s="1135"/>
      <c r="AU142" s="1135"/>
      <c r="AV142" s="1135"/>
      <c r="AW142" s="1135"/>
      <c r="AX142" s="1135"/>
      <c r="AY142" s="1135"/>
      <c r="AZ142" s="1135"/>
      <c r="BA142" s="1135"/>
      <c r="BB142" s="1135"/>
      <c r="BC142" s="1135"/>
      <c r="BD142" s="1135"/>
      <c r="BE142" s="1135"/>
      <c r="BF142" s="1135"/>
      <c r="BG142" s="1135"/>
      <c r="BH142" s="1135"/>
      <c r="BI142" s="1135"/>
      <c r="BJ142" s="1135"/>
      <c r="BK142" s="1135"/>
      <c r="BL142" s="1135"/>
      <c r="BM142" s="1135"/>
      <c r="BN142" s="1135"/>
      <c r="BO142" s="1135"/>
      <c r="BP142" s="1135"/>
      <c r="BQ142" s="1135"/>
      <c r="BR142" s="1135"/>
      <c r="BS142" s="1135"/>
      <c r="BT142" s="1135"/>
      <c r="BU142" s="1135"/>
      <c r="BV142" s="1135"/>
      <c r="BW142" s="1135"/>
      <c r="BX142" s="1135"/>
      <c r="CC142" s="1091"/>
    </row>
    <row r="143" spans="17:81" s="1086" customFormat="1">
      <c r="Q143" s="1113">
        <f t="shared" si="6"/>
        <v>46</v>
      </c>
      <c r="R143" s="1135"/>
      <c r="S143" s="1135"/>
      <c r="T143" s="1135"/>
      <c r="U143" s="1135"/>
      <c r="V143" s="1135"/>
      <c r="W143" s="1135"/>
      <c r="X143" s="1135"/>
      <c r="Y143" s="1135"/>
      <c r="Z143" s="1135"/>
      <c r="AA143" s="1135"/>
      <c r="AB143" s="1135"/>
      <c r="AC143" s="1135"/>
      <c r="AD143" s="1135"/>
      <c r="AE143" s="1135"/>
      <c r="AF143" s="1135"/>
      <c r="AG143" s="1135"/>
      <c r="AH143" s="1135"/>
      <c r="AI143" s="1135"/>
      <c r="AJ143" s="1135"/>
      <c r="AK143" s="1135"/>
      <c r="AL143" s="1135"/>
      <c r="AM143" s="1135"/>
      <c r="AN143" s="1135"/>
      <c r="AO143" s="1135"/>
      <c r="AP143" s="1135"/>
      <c r="AQ143" s="1135"/>
      <c r="AR143" s="1135"/>
      <c r="AS143" s="1135"/>
      <c r="AT143" s="1135"/>
      <c r="AU143" s="1135"/>
      <c r="AV143" s="1135"/>
      <c r="AW143" s="1135"/>
      <c r="AX143" s="1135"/>
      <c r="AY143" s="1135"/>
      <c r="AZ143" s="1135"/>
      <c r="BA143" s="1135"/>
      <c r="BB143" s="1135"/>
      <c r="BC143" s="1135"/>
      <c r="BD143" s="1135"/>
      <c r="BE143" s="1135"/>
      <c r="BF143" s="1135"/>
      <c r="BG143" s="1135"/>
      <c r="BH143" s="1135"/>
      <c r="BI143" s="1135"/>
      <c r="BJ143" s="1135"/>
      <c r="BK143" s="1135"/>
      <c r="BL143" s="1135"/>
      <c r="BM143" s="1135"/>
      <c r="BN143" s="1135"/>
      <c r="BO143" s="1135"/>
      <c r="BP143" s="1135"/>
      <c r="BQ143" s="1135"/>
      <c r="BR143" s="1135"/>
      <c r="BS143" s="1135"/>
      <c r="BT143" s="1135"/>
      <c r="BU143" s="1135"/>
      <c r="BV143" s="1135"/>
      <c r="BW143" s="1135"/>
      <c r="BX143" s="1135"/>
      <c r="CC143" s="1091"/>
    </row>
    <row r="144" spans="17:81" s="1086" customFormat="1">
      <c r="Q144" s="1113">
        <f t="shared" si="6"/>
        <v>47</v>
      </c>
      <c r="R144" s="1135"/>
      <c r="S144" s="1135"/>
      <c r="T144" s="1135"/>
      <c r="U144" s="1135"/>
      <c r="V144" s="1135"/>
      <c r="W144" s="1135"/>
      <c r="X144" s="1135"/>
      <c r="Y144" s="1135"/>
      <c r="Z144" s="1135"/>
      <c r="AA144" s="1135"/>
      <c r="AB144" s="1135"/>
      <c r="AC144" s="1135"/>
      <c r="AD144" s="1135"/>
      <c r="AE144" s="1135"/>
      <c r="AF144" s="1135"/>
      <c r="AG144" s="1135"/>
      <c r="AH144" s="1135"/>
      <c r="AI144" s="1135"/>
      <c r="AJ144" s="1135"/>
      <c r="AK144" s="1135"/>
      <c r="AL144" s="1135"/>
      <c r="AM144" s="1135"/>
      <c r="AN144" s="1135"/>
      <c r="AO144" s="1135"/>
      <c r="AP144" s="1135"/>
      <c r="AQ144" s="1135"/>
      <c r="AR144" s="1135"/>
      <c r="AS144" s="1135"/>
      <c r="AT144" s="1135"/>
      <c r="AU144" s="1135"/>
      <c r="AV144" s="1135"/>
      <c r="AW144" s="1135"/>
      <c r="AX144" s="1135"/>
      <c r="AY144" s="1135"/>
      <c r="AZ144" s="1135"/>
      <c r="BA144" s="1135"/>
      <c r="BB144" s="1135"/>
      <c r="BC144" s="1135"/>
      <c r="BD144" s="1135"/>
      <c r="BE144" s="1135"/>
      <c r="BF144" s="1135"/>
      <c r="BG144" s="1135"/>
      <c r="BH144" s="1135"/>
      <c r="BI144" s="1135"/>
      <c r="BJ144" s="1135"/>
      <c r="BK144" s="1135"/>
      <c r="BL144" s="1135"/>
      <c r="BM144" s="1135"/>
      <c r="BN144" s="1135"/>
      <c r="BO144" s="1135"/>
      <c r="BP144" s="1135"/>
      <c r="BQ144" s="1135"/>
      <c r="BR144" s="1135"/>
      <c r="BS144" s="1135"/>
      <c r="BT144" s="1135"/>
      <c r="BU144" s="1135"/>
      <c r="BV144" s="1135"/>
      <c r="BW144" s="1135"/>
      <c r="BX144" s="1135"/>
      <c r="CC144" s="1091"/>
    </row>
    <row r="145" spans="17:98" s="1086" customFormat="1">
      <c r="Q145" s="1113">
        <f t="shared" si="6"/>
        <v>48</v>
      </c>
      <c r="R145" s="1135"/>
      <c r="S145" s="1135"/>
      <c r="T145" s="1135"/>
      <c r="U145" s="1135"/>
      <c r="V145" s="1135"/>
      <c r="W145" s="1135"/>
      <c r="X145" s="1135"/>
      <c r="Y145" s="1135"/>
      <c r="Z145" s="1135"/>
      <c r="AA145" s="1135"/>
      <c r="AB145" s="1135"/>
      <c r="AC145" s="1135"/>
      <c r="AD145" s="1135"/>
      <c r="AE145" s="1135"/>
      <c r="AF145" s="1135"/>
      <c r="AG145" s="1135"/>
      <c r="AH145" s="1135"/>
      <c r="AI145" s="1135"/>
      <c r="AJ145" s="1135"/>
      <c r="AK145" s="1135"/>
      <c r="AL145" s="1135"/>
      <c r="AM145" s="1135"/>
      <c r="AN145" s="1135"/>
      <c r="AO145" s="1135"/>
      <c r="AP145" s="1135"/>
      <c r="AQ145" s="1135"/>
      <c r="AR145" s="1135"/>
      <c r="AS145" s="1135"/>
      <c r="AT145" s="1135"/>
      <c r="AU145" s="1135"/>
      <c r="AV145" s="1135"/>
      <c r="AW145" s="1135"/>
      <c r="AX145" s="1135"/>
      <c r="AY145" s="1135"/>
      <c r="AZ145" s="1135"/>
      <c r="BA145" s="1135"/>
      <c r="BB145" s="1135"/>
      <c r="BC145" s="1135"/>
      <c r="BD145" s="1135"/>
      <c r="BE145" s="1135"/>
      <c r="BF145" s="1135"/>
      <c r="BG145" s="1135"/>
      <c r="BH145" s="1135"/>
      <c r="BI145" s="1135"/>
      <c r="BJ145" s="1135"/>
      <c r="BK145" s="1135"/>
      <c r="BL145" s="1135"/>
      <c r="BM145" s="1135"/>
      <c r="BN145" s="1135"/>
      <c r="BO145" s="1135"/>
      <c r="BP145" s="1135"/>
      <c r="BQ145" s="1135"/>
      <c r="BR145" s="1135"/>
      <c r="BS145" s="1135"/>
      <c r="BT145" s="1135"/>
      <c r="BU145" s="1135"/>
      <c r="BV145" s="1135"/>
      <c r="BW145" s="1135"/>
      <c r="BX145" s="1135"/>
      <c r="CC145" s="1091"/>
    </row>
    <row r="146" spans="17:98" s="1086" customFormat="1">
      <c r="Q146" s="1113">
        <f t="shared" si="6"/>
        <v>49</v>
      </c>
      <c r="R146" s="1135"/>
      <c r="S146" s="1135"/>
      <c r="T146" s="1135"/>
      <c r="U146" s="1135"/>
      <c r="V146" s="1135"/>
      <c r="W146" s="1135"/>
      <c r="X146" s="1135"/>
      <c r="Y146" s="1135"/>
      <c r="Z146" s="1135"/>
      <c r="AA146" s="1135"/>
      <c r="AB146" s="1135"/>
      <c r="AC146" s="1135"/>
      <c r="AD146" s="1135"/>
      <c r="AE146" s="1135"/>
      <c r="AF146" s="1135"/>
      <c r="AG146" s="1135"/>
      <c r="AH146" s="1135"/>
      <c r="AI146" s="1135"/>
      <c r="AJ146" s="1135"/>
      <c r="AK146" s="1135"/>
      <c r="AL146" s="1135"/>
      <c r="AM146" s="1135"/>
      <c r="AN146" s="1135"/>
      <c r="AO146" s="1135"/>
      <c r="AP146" s="1135"/>
      <c r="AQ146" s="1135"/>
      <c r="AR146" s="1135"/>
      <c r="AS146" s="1135"/>
      <c r="AT146" s="1135"/>
      <c r="AU146" s="1135"/>
      <c r="AV146" s="1135"/>
      <c r="AW146" s="1135"/>
      <c r="AX146" s="1135"/>
      <c r="AY146" s="1135"/>
      <c r="AZ146" s="1135"/>
      <c r="BA146" s="1135"/>
      <c r="BB146" s="1135"/>
      <c r="BC146" s="1135"/>
      <c r="BD146" s="1135"/>
      <c r="BE146" s="1135"/>
      <c r="BF146" s="1135"/>
      <c r="BG146" s="1135"/>
      <c r="BH146" s="1135"/>
      <c r="BI146" s="1135"/>
      <c r="BJ146" s="1135"/>
      <c r="BK146" s="1135"/>
      <c r="BL146" s="1135"/>
      <c r="BM146" s="1135"/>
      <c r="BN146" s="1135"/>
      <c r="BO146" s="1135"/>
      <c r="BP146" s="1135"/>
      <c r="BQ146" s="1135"/>
      <c r="BR146" s="1135"/>
      <c r="BS146" s="1135"/>
      <c r="BT146" s="1135"/>
      <c r="BU146" s="1135"/>
      <c r="BV146" s="1135"/>
      <c r="BW146" s="1135"/>
      <c r="BX146" s="1135"/>
      <c r="BY146" s="1135"/>
      <c r="BZ146" s="1135"/>
      <c r="CA146" s="1135"/>
      <c r="CB146" s="1135"/>
      <c r="CC146" s="1091"/>
      <c r="CD146" s="1091"/>
    </row>
    <row r="147" spans="17:98" s="1086" customFormat="1">
      <c r="Q147" s="1113">
        <f t="shared" si="6"/>
        <v>50</v>
      </c>
      <c r="R147" s="1135"/>
      <c r="S147" s="1135"/>
      <c r="T147" s="1135"/>
      <c r="U147" s="1135"/>
      <c r="V147" s="1135"/>
      <c r="W147" s="1135"/>
      <c r="X147" s="1135"/>
      <c r="Y147" s="1135"/>
      <c r="Z147" s="1135"/>
      <c r="AA147" s="1135"/>
      <c r="AB147" s="1135"/>
      <c r="AC147" s="1135"/>
      <c r="AD147" s="1135"/>
      <c r="AE147" s="1135"/>
      <c r="AF147" s="1135"/>
      <c r="AG147" s="1135"/>
      <c r="AH147" s="1135"/>
      <c r="AI147" s="1135"/>
      <c r="AJ147" s="1135"/>
      <c r="AK147" s="1135"/>
      <c r="AL147" s="1135"/>
      <c r="AM147" s="1135"/>
      <c r="AN147" s="1135"/>
      <c r="AO147" s="1135"/>
      <c r="AP147" s="1135"/>
      <c r="AQ147" s="1135"/>
      <c r="AR147" s="1135"/>
      <c r="AS147" s="1135"/>
      <c r="AT147" s="1135"/>
      <c r="AU147" s="1135"/>
      <c r="AV147" s="1135"/>
      <c r="AW147" s="1135"/>
      <c r="AX147" s="1135"/>
      <c r="AY147" s="1135"/>
      <c r="AZ147" s="1135"/>
      <c r="BA147" s="1135"/>
      <c r="BB147" s="1135"/>
      <c r="BC147" s="1135"/>
      <c r="BD147" s="1135"/>
      <c r="BE147" s="1135"/>
      <c r="BF147" s="1135"/>
      <c r="BG147" s="1135"/>
      <c r="BH147" s="1135"/>
      <c r="BI147" s="1135"/>
      <c r="BJ147" s="1135"/>
      <c r="BK147" s="1135"/>
      <c r="BL147" s="1135"/>
      <c r="BM147" s="1135"/>
      <c r="BN147" s="1135"/>
      <c r="BO147" s="1135"/>
      <c r="BP147" s="1135"/>
      <c r="BQ147" s="1135"/>
      <c r="BR147" s="1135"/>
      <c r="BS147" s="1135"/>
      <c r="BT147" s="1135"/>
      <c r="BU147" s="1135"/>
      <c r="BV147" s="1135"/>
      <c r="BW147" s="1135"/>
      <c r="BX147" s="1135"/>
      <c r="BY147" s="1135"/>
      <c r="BZ147" s="1135"/>
      <c r="CA147" s="1135"/>
      <c r="CB147" s="1135"/>
      <c r="CC147" s="1160"/>
      <c r="CD147" s="1135"/>
      <c r="CE147" s="1135"/>
      <c r="CF147" s="1135"/>
      <c r="CG147" s="1135"/>
      <c r="CH147" s="1135"/>
      <c r="CI147" s="1135"/>
      <c r="CJ147" s="1135"/>
      <c r="CK147" s="1135"/>
      <c r="CL147" s="1135"/>
      <c r="CM147" s="1135"/>
      <c r="CN147" s="1135"/>
      <c r="CP147" s="1091"/>
    </row>
    <row r="148" spans="17:98" s="1098" customFormat="1">
      <c r="Q148" s="1138"/>
      <c r="R148" s="1139"/>
      <c r="S148" s="1139">
        <f>S149-2014</f>
        <v>2</v>
      </c>
      <c r="T148" s="1139">
        <f t="shared" ref="T148:Y148" si="29">T149-2014</f>
        <v>3</v>
      </c>
      <c r="U148" s="1139">
        <f t="shared" si="29"/>
        <v>4</v>
      </c>
      <c r="V148" s="1139">
        <f t="shared" si="29"/>
        <v>5</v>
      </c>
      <c r="W148" s="1139">
        <f t="shared" si="29"/>
        <v>6</v>
      </c>
      <c r="X148" s="1139">
        <f t="shared" si="29"/>
        <v>7</v>
      </c>
      <c r="Y148" s="1139">
        <f t="shared" si="29"/>
        <v>8</v>
      </c>
      <c r="Z148" s="1139"/>
      <c r="AA148" s="1139"/>
      <c r="AB148" s="1139"/>
      <c r="AC148" s="1139"/>
      <c r="AD148" s="1139"/>
      <c r="AE148" s="1139">
        <f>AE149-2014</f>
        <v>2</v>
      </c>
      <c r="AF148" s="1139">
        <f t="shared" ref="AF148:AK148" si="30">AF149-2014</f>
        <v>3</v>
      </c>
      <c r="AG148" s="1139">
        <f t="shared" si="30"/>
        <v>4</v>
      </c>
      <c r="AH148" s="1139">
        <f t="shared" si="30"/>
        <v>5</v>
      </c>
      <c r="AI148" s="1139">
        <f t="shared" si="30"/>
        <v>6</v>
      </c>
      <c r="AJ148" s="1139">
        <f t="shared" si="30"/>
        <v>7</v>
      </c>
      <c r="AK148" s="1139">
        <f t="shared" si="30"/>
        <v>8</v>
      </c>
      <c r="AL148" s="1139"/>
      <c r="AM148" s="1139"/>
      <c r="AN148" s="1139"/>
      <c r="AO148" s="1139"/>
      <c r="AP148" s="1139"/>
      <c r="AQ148" s="1139">
        <f>AQ149-2014</f>
        <v>2</v>
      </c>
      <c r="AR148" s="1139">
        <f t="shared" ref="AR148:AW148" si="31">AR149-2014</f>
        <v>3</v>
      </c>
      <c r="AS148" s="1139">
        <f t="shared" si="31"/>
        <v>4</v>
      </c>
      <c r="AT148" s="1139">
        <f t="shared" si="31"/>
        <v>5</v>
      </c>
      <c r="AU148" s="1139">
        <f t="shared" si="31"/>
        <v>6</v>
      </c>
      <c r="AV148" s="1139">
        <f t="shared" si="31"/>
        <v>7</v>
      </c>
      <c r="AW148" s="1139">
        <f t="shared" si="31"/>
        <v>8</v>
      </c>
      <c r="AX148" s="1139"/>
      <c r="AY148" s="1139"/>
      <c r="AZ148" s="1139"/>
      <c r="BA148" s="1139"/>
      <c r="BB148" s="1139"/>
      <c r="BC148" s="1139">
        <f>BC149-2014</f>
        <v>2</v>
      </c>
      <c r="BD148" s="1139">
        <f t="shared" ref="BD148:BI148" si="32">BD149-2014</f>
        <v>3</v>
      </c>
      <c r="BE148" s="1139">
        <f t="shared" si="32"/>
        <v>4</v>
      </c>
      <c r="BF148" s="1139">
        <f t="shared" si="32"/>
        <v>5</v>
      </c>
      <c r="BG148" s="1139">
        <f t="shared" si="32"/>
        <v>6</v>
      </c>
      <c r="BH148" s="1139">
        <f t="shared" si="32"/>
        <v>7</v>
      </c>
      <c r="BI148" s="1139">
        <f t="shared" si="32"/>
        <v>8</v>
      </c>
      <c r="BJ148" s="1139"/>
      <c r="BK148" s="1139"/>
      <c r="BL148" s="1139"/>
      <c r="BM148" s="1139"/>
      <c r="BN148" s="1139"/>
      <c r="BO148" s="1139">
        <f>BO149-2014</f>
        <v>2</v>
      </c>
      <c r="BP148" s="1139">
        <f t="shared" ref="BP148:BU148" si="33">BP149-2014</f>
        <v>3</v>
      </c>
      <c r="BQ148" s="1139">
        <f t="shared" si="33"/>
        <v>4</v>
      </c>
      <c r="BR148" s="1139">
        <f t="shared" si="33"/>
        <v>5</v>
      </c>
      <c r="BS148" s="1139">
        <f t="shared" si="33"/>
        <v>6</v>
      </c>
      <c r="BT148" s="1139">
        <f t="shared" si="33"/>
        <v>7</v>
      </c>
      <c r="BU148" s="1139">
        <f t="shared" si="33"/>
        <v>8</v>
      </c>
      <c r="BV148" s="1139"/>
      <c r="BW148" s="1139"/>
      <c r="BX148" s="1139"/>
      <c r="BY148" s="1139"/>
      <c r="BZ148" s="1139"/>
      <c r="CA148" s="1139"/>
      <c r="CB148" s="1139"/>
      <c r="CC148" s="1141"/>
      <c r="CD148" s="1139"/>
      <c r="CE148" s="1139"/>
      <c r="CF148" s="1139"/>
      <c r="CG148" s="1139"/>
      <c r="CH148" s="1139"/>
      <c r="CI148" s="1139"/>
      <c r="CJ148" s="1139"/>
      <c r="CK148" s="1139"/>
      <c r="CL148" s="1139"/>
      <c r="CM148" s="1139"/>
      <c r="CN148" s="1139"/>
      <c r="CO148" s="1139"/>
      <c r="CP148" s="1139"/>
      <c r="CQ148" s="1139"/>
      <c r="CR148" s="1139"/>
      <c r="CT148" s="839"/>
    </row>
    <row r="149" spans="17:98" s="1098" customFormat="1">
      <c r="Q149" s="1138"/>
      <c r="R149" s="1139" t="str">
        <f t="shared" ref="R149:Y149" si="34">R97</f>
        <v>EPO</v>
      </c>
      <c r="S149" s="1139">
        <f t="shared" si="34"/>
        <v>2016</v>
      </c>
      <c r="T149" s="1139">
        <f t="shared" si="34"/>
        <v>2017</v>
      </c>
      <c r="U149" s="1139">
        <f t="shared" si="34"/>
        <v>2018</v>
      </c>
      <c r="V149" s="1139">
        <f t="shared" si="34"/>
        <v>2019</v>
      </c>
      <c r="W149" s="1139">
        <f t="shared" si="34"/>
        <v>2020</v>
      </c>
      <c r="X149" s="1139">
        <f t="shared" si="34"/>
        <v>2021</v>
      </c>
      <c r="Y149" s="1139">
        <f t="shared" si="34"/>
        <v>2022</v>
      </c>
      <c r="Z149" s="1139"/>
      <c r="AA149" s="1139"/>
      <c r="AB149" s="1139"/>
      <c r="AC149" s="1139"/>
      <c r="AD149" s="1139" t="str">
        <f t="shared" ref="AD149:AK149" si="35">AD97</f>
        <v>JPO</v>
      </c>
      <c r="AE149" s="1139">
        <f t="shared" si="35"/>
        <v>2016</v>
      </c>
      <c r="AF149" s="1139">
        <f t="shared" si="35"/>
        <v>2017</v>
      </c>
      <c r="AG149" s="1139">
        <f t="shared" si="35"/>
        <v>2018</v>
      </c>
      <c r="AH149" s="1139">
        <f t="shared" si="35"/>
        <v>2019</v>
      </c>
      <c r="AI149" s="1139">
        <f t="shared" si="35"/>
        <v>2020</v>
      </c>
      <c r="AJ149" s="1139">
        <f t="shared" si="35"/>
        <v>2021</v>
      </c>
      <c r="AK149" s="1139">
        <f t="shared" si="35"/>
        <v>2022</v>
      </c>
      <c r="AL149" s="1139"/>
      <c r="AM149" s="1139"/>
      <c r="AN149" s="1139"/>
      <c r="AO149" s="1139"/>
      <c r="AP149" s="1139" t="str">
        <f t="shared" ref="AP149:AW149" si="36">AP97</f>
        <v>KIPO</v>
      </c>
      <c r="AQ149" s="1139">
        <f t="shared" si="36"/>
        <v>2016</v>
      </c>
      <c r="AR149" s="1139">
        <f t="shared" si="36"/>
        <v>2017</v>
      </c>
      <c r="AS149" s="1139">
        <f t="shared" si="36"/>
        <v>2018</v>
      </c>
      <c r="AT149" s="1139">
        <f t="shared" si="36"/>
        <v>2019</v>
      </c>
      <c r="AU149" s="1139">
        <f t="shared" si="36"/>
        <v>2020</v>
      </c>
      <c r="AV149" s="1139">
        <f t="shared" si="36"/>
        <v>2021</v>
      </c>
      <c r="AW149" s="1139">
        <f t="shared" si="36"/>
        <v>2022</v>
      </c>
      <c r="AX149" s="1139"/>
      <c r="AY149" s="1139"/>
      <c r="AZ149" s="1139"/>
      <c r="BA149" s="1139"/>
      <c r="BB149" s="1139" t="str">
        <f t="shared" ref="BB149:BI149" si="37">BB97</f>
        <v>CNIPA</v>
      </c>
      <c r="BC149" s="1139">
        <f t="shared" si="37"/>
        <v>2016</v>
      </c>
      <c r="BD149" s="1139">
        <f t="shared" si="37"/>
        <v>2017</v>
      </c>
      <c r="BE149" s="1139">
        <f t="shared" si="37"/>
        <v>2018</v>
      </c>
      <c r="BF149" s="1139">
        <f t="shared" si="37"/>
        <v>2019</v>
      </c>
      <c r="BG149" s="1139">
        <f t="shared" si="37"/>
        <v>2020</v>
      </c>
      <c r="BH149" s="1139">
        <f t="shared" si="37"/>
        <v>2021</v>
      </c>
      <c r="BI149" s="1139">
        <f t="shared" si="37"/>
        <v>2022</v>
      </c>
      <c r="BJ149" s="1139"/>
      <c r="BK149" s="1139"/>
      <c r="BL149" s="1139"/>
      <c r="BM149" s="1139"/>
      <c r="BN149" s="1139" t="str">
        <f t="shared" ref="BN149:BU149" si="38">BN97</f>
        <v>USPTO</v>
      </c>
      <c r="BO149" s="1139">
        <f t="shared" si="38"/>
        <v>2016</v>
      </c>
      <c r="BP149" s="1139">
        <f t="shared" si="38"/>
        <v>2017</v>
      </c>
      <c r="BQ149" s="1139">
        <f t="shared" si="38"/>
        <v>2018</v>
      </c>
      <c r="BR149" s="1139">
        <f t="shared" si="38"/>
        <v>2019</v>
      </c>
      <c r="BS149" s="1139">
        <f t="shared" si="38"/>
        <v>2020</v>
      </c>
      <c r="BT149" s="1139">
        <f t="shared" si="38"/>
        <v>2021</v>
      </c>
      <c r="BU149" s="1139">
        <f t="shared" si="38"/>
        <v>2022</v>
      </c>
      <c r="BV149" s="1139"/>
      <c r="BW149" s="1139"/>
      <c r="BX149" s="1139"/>
      <c r="CC149" s="839"/>
    </row>
    <row r="150" spans="17:98" s="1098" customFormat="1">
      <c r="Q150" s="1138">
        <f t="shared" si="6"/>
        <v>1</v>
      </c>
      <c r="R150" s="1139" t="str">
        <f t="shared" ref="R150:R168" si="39">IF(Q98&lt;AC$133,VLOOKUP(Q98,AC$98:AD$132,2,FALSE),"")</f>
        <v>Other special machines</v>
      </c>
      <c r="S150" s="1139">
        <f t="shared" ref="S150:X161" si="40">IF(VLOOKUP($R150,$R$98:$X$132,S$148,FALSE)=0,11,VLOOKUP($R150,$R$98:$X$132,S$148,FALSE))</f>
        <v>10</v>
      </c>
      <c r="T150" s="1139">
        <f t="shared" si="40"/>
        <v>10</v>
      </c>
      <c r="U150" s="1139">
        <f t="shared" si="40"/>
        <v>8</v>
      </c>
      <c r="V150" s="1139">
        <f t="shared" si="40"/>
        <v>8</v>
      </c>
      <c r="W150" s="1139">
        <f t="shared" si="40"/>
        <v>8</v>
      </c>
      <c r="X150" s="1139">
        <f t="shared" si="40"/>
        <v>8</v>
      </c>
      <c r="Y150" s="1139">
        <f t="shared" ref="Y150:Y161" si="41">IF(VLOOKUP($R150,$R$98:$Y$132,Y$148,FALSE)=0,11,VLOOKUP($R150,$R$98:$Y$132,Y$148,FALSE))</f>
        <v>8</v>
      </c>
      <c r="Z150" s="1139"/>
      <c r="AA150" s="1139"/>
      <c r="AB150" s="1139"/>
      <c r="AC150" s="1139"/>
      <c r="AD150" s="1139" t="str">
        <f t="shared" ref="AD150:AD168" si="42">IF(Q98&lt;AO$133,VLOOKUP(Q98,AO$98:AP$132,2,FALSE),"")</f>
        <v>Audio-visual technology</v>
      </c>
      <c r="AE150" s="1139">
        <f t="shared" ref="AE150:AJ160" si="43">IF(VLOOKUP($AD150,$AD$98:$AJ$132,AE$148,FALSE)=0,11,VLOOKUP($AD150,$AD$98:$AJ$132,AE$148,FALSE))</f>
        <v>9</v>
      </c>
      <c r="AF150" s="1139">
        <f t="shared" si="43"/>
        <v>9</v>
      </c>
      <c r="AG150" s="1139">
        <f t="shared" si="43"/>
        <v>9</v>
      </c>
      <c r="AH150" s="1139">
        <f t="shared" si="43"/>
        <v>8</v>
      </c>
      <c r="AI150" s="1139">
        <f t="shared" si="43"/>
        <v>9</v>
      </c>
      <c r="AJ150" s="1139">
        <f t="shared" si="43"/>
        <v>9</v>
      </c>
      <c r="AK150" s="1139">
        <f t="shared" ref="AK150:AK160" si="44">IF(VLOOKUP($AD150,$AD$98:$AK$132,AK$148,FALSE)=0,11,VLOOKUP($AD150,$AD$98:$AK$132,AK$148,FALSE))</f>
        <v>9</v>
      </c>
      <c r="AL150" s="1139"/>
      <c r="AM150" s="1139"/>
      <c r="AN150" s="1139"/>
      <c r="AO150" s="1139"/>
      <c r="AP150" s="1139" t="str">
        <f t="shared" ref="AP150:AP168" si="45">IF(Q98&lt;BA$133,VLOOKUP(Q98,BA$98:BB$132,2,FALSE),"")</f>
        <v>Other special machines</v>
      </c>
      <c r="AQ150" s="1139">
        <f t="shared" ref="AQ150:AV161" si="46">IF(VLOOKUP($AP150,$AP$98:$AV$132,AQ$148,FALSE)=0,11,VLOOKUP($AP150,$AP$98:$AV$132,AQ$148,FALSE))</f>
        <v>10</v>
      </c>
      <c r="AR150" s="1139">
        <f t="shared" si="46"/>
        <v>10</v>
      </c>
      <c r="AS150" s="1139">
        <f t="shared" si="46"/>
        <v>7</v>
      </c>
      <c r="AT150" s="1139">
        <f t="shared" si="46"/>
        <v>8</v>
      </c>
      <c r="AU150" s="1139">
        <f t="shared" si="46"/>
        <v>9</v>
      </c>
      <c r="AV150" s="1139">
        <f t="shared" si="46"/>
        <v>10</v>
      </c>
      <c r="AW150" s="1139">
        <f t="shared" ref="AW150:AW161" si="47">IF(VLOOKUP($AP150,$AP$98:$AW$132,AW$148,FALSE)=0,11,VLOOKUP($AP150,$AP$98:$AW$132,AW$148,FALSE))</f>
        <v>11</v>
      </c>
      <c r="AX150" s="1139"/>
      <c r="AY150" s="1139"/>
      <c r="AZ150" s="1139"/>
      <c r="BA150" s="1139"/>
      <c r="BB150" s="1139" t="str">
        <f t="shared" ref="BB150:BB173" si="48">IF(Q98&lt;BM$133,VLOOKUP(Q98,BM$98:BN$132,2,FALSE),"")</f>
        <v>Materials, metallurgy</v>
      </c>
      <c r="BC150" s="1139">
        <f t="shared" ref="BC150:BH161" si="49">IF(VLOOKUP($BB150,$BB$98:$BH$132,BC$148,FALSE)=0,$BK$134,VLOOKUP($BB150,$BB$98:$BH$132,BC$148,FALSE))</f>
        <v>7</v>
      </c>
      <c r="BD150" s="1139">
        <f t="shared" si="49"/>
        <v>7</v>
      </c>
      <c r="BE150" s="1139">
        <f t="shared" si="49"/>
        <v>7</v>
      </c>
      <c r="BF150" s="1139">
        <f t="shared" si="49"/>
        <v>9</v>
      </c>
      <c r="BG150" s="1139">
        <f t="shared" si="49"/>
        <v>9</v>
      </c>
      <c r="BH150" s="1139">
        <f t="shared" si="49"/>
        <v>10</v>
      </c>
      <c r="BI150" s="1139">
        <f>IF(VLOOKUP($BB150,$BB$98:$BI$132,BI$148,FALSE)=0,$BK$134,VLOOKUP($BB150,$BB$98:$BI$132,BI$148,FALSE))</f>
        <v>8</v>
      </c>
      <c r="BJ150" s="1139"/>
      <c r="BK150" s="1139"/>
      <c r="BL150" s="1139"/>
      <c r="BM150" s="1139"/>
      <c r="BN150" s="1139" t="str">
        <f t="shared" ref="BN150:BN168" si="50">IF(Q98&lt;BY$133,VLOOKUP(Q98,BY$98:BZ$132,2,FALSE),"")</f>
        <v>Telecommunications</v>
      </c>
      <c r="BO150" s="1139">
        <f>IF(VLOOKUP($BN150,$BN$98:$BT$132,BO$148,FALSE)=0,BW133,VLOOKUP($BN150,$BN$98:$BT$132,BO$148,FALSE))</f>
        <v>9</v>
      </c>
      <c r="BP150" s="1139">
        <f>IF(VLOOKUP($BN150,$BN$98:$BT$132,BP$148,FALSE)=0,BW133,VLOOKUP($BN150,$BN$98:$BT$132,BP$148,FALSE))</f>
        <v>9</v>
      </c>
      <c r="BQ150" s="1139">
        <f>IF(VLOOKUP($BN150,$BN$98:$BT$132,BQ$148,FALSE)=0,BW133,VLOOKUP($BN150,$BN$98:$BT$132,BQ$148,FALSE))</f>
        <v>9</v>
      </c>
      <c r="BR150" s="1139">
        <f>IF(VLOOKUP($BN150,$BN$98:$BT$132,BR$148,FALSE)=0,BW133,VLOOKUP($BN150,$BN$98:$BT$132,BR$148,FALSE))</f>
        <v>10</v>
      </c>
      <c r="BS150" s="1139">
        <f>IF(VLOOKUP($BN150,$BN$98:$BT$132,BS$148,FALSE)=0,BW133,VLOOKUP($BN150,$BN$98:$BT$132,BS$148,FALSE))</f>
        <v>10</v>
      </c>
      <c r="BT150" s="1139">
        <f>IF(VLOOKUP($BN150,$BN$98:$BT$132,BT$148,FALSE)=0,BW133,VLOOKUP($BN150,$BN$98:$BT$132,BT$148,FALSE))</f>
        <v>10</v>
      </c>
      <c r="BU150" s="1139">
        <f>IF(VLOOKUP($BN150,$BN$98:$BU$132,BU$148,FALSE)=0,BX133,VLOOKUP($BN150,$BN$98:$BU$132,BU$148,FALSE))</f>
        <v>10</v>
      </c>
      <c r="BV150" s="1139"/>
      <c r="BW150" s="1139"/>
      <c r="BX150" s="1139"/>
      <c r="CC150" s="839"/>
    </row>
    <row r="151" spans="17:98" s="1098" customFormat="1">
      <c r="Q151" s="1138">
        <f t="shared" si="6"/>
        <v>2</v>
      </c>
      <c r="R151" s="1139" t="str">
        <f t="shared" si="39"/>
        <v>Engines, pumps, turbines</v>
      </c>
      <c r="S151" s="1139">
        <f t="shared" si="40"/>
        <v>7</v>
      </c>
      <c r="T151" s="1139">
        <f t="shared" si="40"/>
        <v>7</v>
      </c>
      <c r="U151" s="1139">
        <f t="shared" si="40"/>
        <v>7</v>
      </c>
      <c r="V151" s="1139">
        <f t="shared" si="40"/>
        <v>7</v>
      </c>
      <c r="W151" s="1139">
        <f t="shared" si="40"/>
        <v>7</v>
      </c>
      <c r="X151" s="1139">
        <f t="shared" si="40"/>
        <v>7</v>
      </c>
      <c r="Y151" s="1139">
        <f t="shared" si="41"/>
        <v>7</v>
      </c>
      <c r="Z151" s="1139"/>
      <c r="AA151" s="1139"/>
      <c r="AB151" s="1139"/>
      <c r="AC151" s="1139"/>
      <c r="AD151" s="1139" t="str">
        <f t="shared" si="42"/>
        <v>Semiconductors</v>
      </c>
      <c r="AE151" s="1139">
        <f t="shared" si="43"/>
        <v>8</v>
      </c>
      <c r="AF151" s="1139">
        <f t="shared" si="43"/>
        <v>8</v>
      </c>
      <c r="AG151" s="1139">
        <f t="shared" si="43"/>
        <v>8</v>
      </c>
      <c r="AH151" s="1139">
        <f t="shared" si="43"/>
        <v>9</v>
      </c>
      <c r="AI151" s="1139">
        <f t="shared" si="43"/>
        <v>8</v>
      </c>
      <c r="AJ151" s="1139">
        <f t="shared" si="43"/>
        <v>10</v>
      </c>
      <c r="AK151" s="1139">
        <f t="shared" si="44"/>
        <v>10</v>
      </c>
      <c r="AL151" s="1139"/>
      <c r="AM151" s="1139"/>
      <c r="AN151" s="1139"/>
      <c r="AO151" s="1139"/>
      <c r="AP151" s="1139" t="str">
        <f t="shared" si="45"/>
        <v>Digital communication</v>
      </c>
      <c r="AQ151" s="1139">
        <f t="shared" si="46"/>
        <v>7</v>
      </c>
      <c r="AR151" s="1139">
        <f t="shared" si="46"/>
        <v>7</v>
      </c>
      <c r="AS151" s="1139">
        <f t="shared" si="46"/>
        <v>8</v>
      </c>
      <c r="AT151" s="1139">
        <f t="shared" si="46"/>
        <v>7</v>
      </c>
      <c r="AU151" s="1139">
        <f t="shared" si="46"/>
        <v>7</v>
      </c>
      <c r="AV151" s="1139">
        <f t="shared" si="46"/>
        <v>7</v>
      </c>
      <c r="AW151" s="1139">
        <f t="shared" si="47"/>
        <v>7</v>
      </c>
      <c r="AX151" s="1139"/>
      <c r="AY151" s="1139"/>
      <c r="AZ151" s="1139"/>
      <c r="BA151" s="1139"/>
      <c r="BB151" s="1139" t="str">
        <f t="shared" si="48"/>
        <v>Transport</v>
      </c>
      <c r="BC151" s="1139">
        <f t="shared" si="49"/>
        <v>8</v>
      </c>
      <c r="BD151" s="1139">
        <f t="shared" si="49"/>
        <v>8</v>
      </c>
      <c r="BE151" s="1139">
        <f t="shared" si="49"/>
        <v>8</v>
      </c>
      <c r="BF151" s="1139">
        <f t="shared" si="49"/>
        <v>7</v>
      </c>
      <c r="BG151" s="1139">
        <f t="shared" si="49"/>
        <v>7</v>
      </c>
      <c r="BH151" s="1139">
        <f t="shared" si="49"/>
        <v>9</v>
      </c>
      <c r="BI151" s="1139">
        <f>IF(VLOOKUP($BB151,$BB$98:$BI$132,BI$148,FALSE)=0,$BK$134,VLOOKUP($BB151,$BB$98:$BI$132,BI$148,FALSE))</f>
        <v>7</v>
      </c>
      <c r="BJ151" s="1139"/>
      <c r="BK151" s="1139"/>
      <c r="BL151" s="1139"/>
      <c r="BM151" s="1139"/>
      <c r="BN151" s="1139" t="str">
        <f t="shared" si="50"/>
        <v>Optics</v>
      </c>
      <c r="BO151" s="1139">
        <f t="shared" ref="BO151:BO159" si="51">IF(VLOOKUP($BN151,$BN$98:$BT$132,BO$148,FALSE)=0,BW134,VLOOKUP($BN151,$BN$98:$BT$132,BO$148,FALSE))</f>
        <v>10</v>
      </c>
      <c r="BP151" s="1139">
        <f t="shared" ref="BP151:BP159" si="52">IF(VLOOKUP($BN151,$BN$98:$BT$132,BP$148,FALSE)=0,BW134,VLOOKUP($BN151,$BN$98:$BT$132,BP$148,FALSE))</f>
        <v>10</v>
      </c>
      <c r="BQ151" s="1139">
        <f t="shared" ref="BQ151:BQ159" si="53">IF(VLOOKUP($BN151,$BN$98:$BT$132,BQ$148,FALSE)=0,BW134,VLOOKUP($BN151,$BN$98:$BT$132,BQ$148,FALSE))</f>
        <v>10</v>
      </c>
      <c r="BR151" s="1139">
        <f t="shared" ref="BR151:BR159" si="54">IF(VLOOKUP($BN151,$BN$98:$BT$132,BR$148,FALSE)=0,BW134,VLOOKUP($BN151,$BN$98:$BT$132,BR$148,FALSE))</f>
        <v>9</v>
      </c>
      <c r="BS151" s="1139">
        <f t="shared" ref="BS151:BS159" si="55">IF(VLOOKUP($BN151,$BN$98:$BT$132,BS$148,FALSE)=0,BW134,VLOOKUP($BN151,$BN$98:$BT$132,BS$148,FALSE))</f>
        <v>9</v>
      </c>
      <c r="BT151" s="1139">
        <f t="shared" ref="BT151:BT159" si="56">IF(VLOOKUP($BN151,$BN$98:$BT$132,BT$148,FALSE)=0,BW134,VLOOKUP($BN151,$BN$98:$BT$132,BT$148,FALSE))</f>
        <v>9</v>
      </c>
      <c r="BU151" s="1139">
        <f t="shared" ref="BU151:BU157" si="57">IF(VLOOKUP($BN151,$BN$98:$BU$132,BU$148,FALSE)=0,BX134,VLOOKUP($BN151,$BN$98:$BU$132,BU$148,FALSE))</f>
        <v>9</v>
      </c>
      <c r="BV151" s="1139"/>
      <c r="BW151" s="1139"/>
      <c r="BX151" s="1139"/>
      <c r="CC151" s="839"/>
    </row>
    <row r="152" spans="17:98" s="1098" customFormat="1">
      <c r="Q152" s="1138">
        <f t="shared" si="6"/>
        <v>3</v>
      </c>
      <c r="R152" s="1139" t="str">
        <f t="shared" si="39"/>
        <v>Civil engineering</v>
      </c>
      <c r="S152" s="1139">
        <f t="shared" si="40"/>
        <v>9</v>
      </c>
      <c r="T152" s="1139">
        <f t="shared" si="40"/>
        <v>9</v>
      </c>
      <c r="U152" s="1139">
        <f t="shared" si="40"/>
        <v>11</v>
      </c>
      <c r="V152" s="1139">
        <f t="shared" si="40"/>
        <v>10</v>
      </c>
      <c r="W152" s="1139">
        <f t="shared" si="40"/>
        <v>9</v>
      </c>
      <c r="X152" s="1139">
        <f>IF(VLOOKUP($R152,$R$98:$X$132,X$148,FALSE)=0,11,VLOOKUP($R152,$R$98:$X$132,X$148,FALSE))</f>
        <v>11</v>
      </c>
      <c r="Y152" s="1139">
        <f t="shared" si="41"/>
        <v>9</v>
      </c>
      <c r="Z152" s="1139"/>
      <c r="AA152" s="1139"/>
      <c r="AB152" s="1139"/>
      <c r="AC152" s="1139"/>
      <c r="AD152" s="1139" t="str">
        <f t="shared" si="42"/>
        <v>Civil engineering</v>
      </c>
      <c r="AE152" s="1139">
        <f t="shared" si="43"/>
        <v>10</v>
      </c>
      <c r="AF152" s="1139">
        <f t="shared" si="43"/>
        <v>10</v>
      </c>
      <c r="AG152" s="1139">
        <f t="shared" si="43"/>
        <v>10</v>
      </c>
      <c r="AH152" s="1139">
        <f t="shared" si="43"/>
        <v>10</v>
      </c>
      <c r="AI152" s="1139">
        <f t="shared" si="43"/>
        <v>11</v>
      </c>
      <c r="AJ152" s="1139">
        <v>9</v>
      </c>
      <c r="AK152" s="1139">
        <v>9</v>
      </c>
      <c r="AL152" s="1139"/>
      <c r="AM152" s="1139"/>
      <c r="AN152" s="1139"/>
      <c r="AO152" s="1139"/>
      <c r="AP152" s="1139" t="str">
        <f t="shared" si="45"/>
        <v>Medical technology</v>
      </c>
      <c r="AQ152" s="1139">
        <f t="shared" si="46"/>
        <v>8</v>
      </c>
      <c r="AR152" s="1139">
        <f t="shared" si="46"/>
        <v>8</v>
      </c>
      <c r="AS152" s="1139">
        <f t="shared" si="46"/>
        <v>9</v>
      </c>
      <c r="AT152" s="1139">
        <f t="shared" si="46"/>
        <v>9</v>
      </c>
      <c r="AU152" s="1139">
        <f t="shared" si="46"/>
        <v>8</v>
      </c>
      <c r="AV152" s="1139">
        <f t="shared" si="46"/>
        <v>4</v>
      </c>
      <c r="AW152" s="1139">
        <f t="shared" si="47"/>
        <v>4</v>
      </c>
      <c r="AX152" s="1139"/>
      <c r="AY152" s="1139"/>
      <c r="AZ152" s="1139"/>
      <c r="BA152" s="1139"/>
      <c r="BB152" s="1139" t="str">
        <f t="shared" si="48"/>
        <v>Civil engineering</v>
      </c>
      <c r="BC152" s="1139">
        <f t="shared" si="49"/>
        <v>6</v>
      </c>
      <c r="BD152" s="1139">
        <f t="shared" si="49"/>
        <v>6</v>
      </c>
      <c r="BE152" s="1139">
        <f t="shared" si="49"/>
        <v>6</v>
      </c>
      <c r="BF152" s="1139">
        <f t="shared" si="49"/>
        <v>6</v>
      </c>
      <c r="BG152" s="1139">
        <f t="shared" si="49"/>
        <v>6</v>
      </c>
      <c r="BH152" s="1139">
        <f t="shared" si="49"/>
        <v>6</v>
      </c>
      <c r="BI152" s="1139">
        <f t="shared" ref="BI152:BI161" si="58">IF(VLOOKUP($BB152,$BB$98:$BI$132,BI$148,FALSE)=0,$BK$134,VLOOKUP($BB152,$BB$98:$BI$132,BI$148,FALSE))</f>
        <v>10</v>
      </c>
      <c r="BJ152" s="1139"/>
      <c r="BK152" s="1139"/>
      <c r="BL152" s="1139"/>
      <c r="BM152" s="1139"/>
      <c r="BN152" s="1139" t="str">
        <f t="shared" si="50"/>
        <v>Measurement</v>
      </c>
      <c r="BO152" s="1139">
        <f t="shared" si="51"/>
        <v>7</v>
      </c>
      <c r="BP152" s="1139">
        <f t="shared" si="52"/>
        <v>7</v>
      </c>
      <c r="BQ152" s="1139">
        <f t="shared" si="53"/>
        <v>7</v>
      </c>
      <c r="BR152" s="1139">
        <f t="shared" si="54"/>
        <v>7</v>
      </c>
      <c r="BS152" s="1139">
        <f t="shared" si="55"/>
        <v>7</v>
      </c>
      <c r="BT152" s="1139">
        <f t="shared" si="56"/>
        <v>7</v>
      </c>
      <c r="BU152" s="1139">
        <f t="shared" si="57"/>
        <v>8</v>
      </c>
      <c r="BV152" s="1139"/>
      <c r="BW152" s="1139"/>
      <c r="BX152" s="1139"/>
      <c r="CC152" s="839"/>
    </row>
    <row r="153" spans="17:98" s="1098" customFormat="1">
      <c r="Q153" s="1138">
        <f t="shared" si="6"/>
        <v>4</v>
      </c>
      <c r="R153" s="1139" t="str">
        <f t="shared" si="39"/>
        <v>Measurement</v>
      </c>
      <c r="S153" s="1139">
        <f t="shared" si="40"/>
        <v>5</v>
      </c>
      <c r="T153" s="1139">
        <f t="shared" si="40"/>
        <v>5</v>
      </c>
      <c r="U153" s="1139">
        <f t="shared" si="40"/>
        <v>6</v>
      </c>
      <c r="V153" s="1139">
        <f t="shared" si="40"/>
        <v>6</v>
      </c>
      <c r="W153" s="1139">
        <f t="shared" si="40"/>
        <v>6</v>
      </c>
      <c r="X153" s="1139">
        <f t="shared" si="40"/>
        <v>6</v>
      </c>
      <c r="Y153" s="1139">
        <f t="shared" si="41"/>
        <v>6</v>
      </c>
      <c r="Z153" s="1139"/>
      <c r="AA153" s="1139"/>
      <c r="AB153" s="1139"/>
      <c r="AC153" s="1139"/>
      <c r="AD153" s="1139" t="str">
        <f t="shared" si="42"/>
        <v>Optics</v>
      </c>
      <c r="AE153" s="1139">
        <f t="shared" si="43"/>
        <v>4</v>
      </c>
      <c r="AF153" s="1139">
        <f t="shared" si="43"/>
        <v>4</v>
      </c>
      <c r="AG153" s="1139">
        <f t="shared" si="43"/>
        <v>7</v>
      </c>
      <c r="AH153" s="1139">
        <f t="shared" si="43"/>
        <v>7</v>
      </c>
      <c r="AI153" s="1139">
        <f t="shared" si="43"/>
        <v>7</v>
      </c>
      <c r="AJ153" s="1139">
        <f t="shared" si="43"/>
        <v>7</v>
      </c>
      <c r="AK153" s="1139">
        <f t="shared" si="44"/>
        <v>9</v>
      </c>
      <c r="AL153" s="1139"/>
      <c r="AM153" s="1139"/>
      <c r="AN153" s="1139"/>
      <c r="AO153" s="1139"/>
      <c r="AP153" s="1139" t="str">
        <f t="shared" si="45"/>
        <v>Measurement</v>
      </c>
      <c r="AQ153" s="1139">
        <f t="shared" si="46"/>
        <v>6</v>
      </c>
      <c r="AR153" s="1139">
        <f t="shared" si="46"/>
        <v>6</v>
      </c>
      <c r="AS153" s="1139">
        <f t="shared" si="46"/>
        <v>6</v>
      </c>
      <c r="AT153" s="1139">
        <f t="shared" si="46"/>
        <v>6</v>
      </c>
      <c r="AU153" s="1139">
        <f t="shared" si="46"/>
        <v>6</v>
      </c>
      <c r="AV153" s="1139">
        <f t="shared" si="46"/>
        <v>9</v>
      </c>
      <c r="AW153" s="1139">
        <f t="shared" si="47"/>
        <v>10</v>
      </c>
      <c r="AX153" s="1139"/>
      <c r="AY153" s="1139"/>
      <c r="AZ153" s="1139"/>
      <c r="BA153" s="1139"/>
      <c r="BB153" s="1139" t="str">
        <f t="shared" si="48"/>
        <v>Chemical engineering</v>
      </c>
      <c r="BC153" s="1139">
        <f t="shared" si="49"/>
        <v>11</v>
      </c>
      <c r="BD153" s="1139">
        <f t="shared" si="49"/>
        <v>11</v>
      </c>
      <c r="BE153" s="1139">
        <f t="shared" si="49"/>
        <v>9</v>
      </c>
      <c r="BF153" s="1139">
        <f t="shared" si="49"/>
        <v>10</v>
      </c>
      <c r="BG153" s="1139">
        <f t="shared" si="49"/>
        <v>8</v>
      </c>
      <c r="BH153" s="1139">
        <f t="shared" si="49"/>
        <v>8</v>
      </c>
      <c r="BI153" s="1139">
        <f t="shared" si="58"/>
        <v>6</v>
      </c>
      <c r="BJ153" s="1139"/>
      <c r="BK153" s="1139"/>
      <c r="BL153" s="1139"/>
      <c r="BM153" s="1139"/>
      <c r="BN153" s="1139" t="str">
        <f t="shared" si="50"/>
        <v>Transport</v>
      </c>
      <c r="BO153" s="1139">
        <f t="shared" si="51"/>
        <v>8</v>
      </c>
      <c r="BP153" s="1139">
        <f t="shared" si="52"/>
        <v>8</v>
      </c>
      <c r="BQ153" s="1139">
        <f t="shared" si="53"/>
        <v>8</v>
      </c>
      <c r="BR153" s="1139">
        <f t="shared" si="54"/>
        <v>8</v>
      </c>
      <c r="BS153" s="1139">
        <f t="shared" si="55"/>
        <v>8</v>
      </c>
      <c r="BT153" s="1139">
        <f t="shared" si="56"/>
        <v>8</v>
      </c>
      <c r="BU153" s="1139">
        <f t="shared" si="57"/>
        <v>7</v>
      </c>
      <c r="BV153" s="1139"/>
      <c r="BW153" s="1139"/>
      <c r="BX153" s="1139"/>
      <c r="CC153" s="839"/>
    </row>
    <row r="154" spans="17:98" s="1098" customFormat="1">
      <c r="Q154" s="1138">
        <f t="shared" si="6"/>
        <v>5</v>
      </c>
      <c r="R154" s="1139" t="str">
        <f t="shared" si="39"/>
        <v>Organic fine chemistry</v>
      </c>
      <c r="S154" s="1139">
        <f t="shared" si="40"/>
        <v>8</v>
      </c>
      <c r="T154" s="1139">
        <f t="shared" si="40"/>
        <v>8</v>
      </c>
      <c r="U154" s="1139">
        <f t="shared" si="40"/>
        <v>9</v>
      </c>
      <c r="V154" s="1139">
        <f t="shared" si="40"/>
        <v>11</v>
      </c>
      <c r="W154" s="1139">
        <f t="shared" si="40"/>
        <v>11</v>
      </c>
      <c r="X154" s="1139">
        <f t="shared" si="40"/>
        <v>9</v>
      </c>
      <c r="Y154" s="1139">
        <f t="shared" si="41"/>
        <v>11</v>
      </c>
      <c r="Z154" s="1139"/>
      <c r="AA154" s="1139"/>
      <c r="AB154" s="1139"/>
      <c r="AC154" s="1139"/>
      <c r="AD154" s="1139" t="str">
        <f t="shared" si="42"/>
        <v>Medical technology</v>
      </c>
      <c r="AE154" s="1139">
        <f t="shared" si="43"/>
        <v>6</v>
      </c>
      <c r="AF154" s="1139">
        <f t="shared" si="43"/>
        <v>6</v>
      </c>
      <c r="AG154" s="1139">
        <f t="shared" si="43"/>
        <v>6</v>
      </c>
      <c r="AH154" s="1139">
        <f t="shared" si="43"/>
        <v>6</v>
      </c>
      <c r="AI154" s="1139">
        <f t="shared" si="43"/>
        <v>5</v>
      </c>
      <c r="AJ154" s="1139">
        <f t="shared" si="43"/>
        <v>4</v>
      </c>
      <c r="AK154" s="1139">
        <f t="shared" si="44"/>
        <v>6</v>
      </c>
      <c r="AL154" s="1139"/>
      <c r="AM154" s="1139"/>
      <c r="AN154" s="1139"/>
      <c r="AO154" s="1139"/>
      <c r="AP154" s="1139" t="str">
        <f t="shared" si="45"/>
        <v>Audio-visual technology</v>
      </c>
      <c r="AQ154" s="1139">
        <f t="shared" si="46"/>
        <v>9</v>
      </c>
      <c r="AR154" s="1139">
        <f t="shared" si="46"/>
        <v>9</v>
      </c>
      <c r="AS154" s="1139">
        <f t="shared" si="46"/>
        <v>11</v>
      </c>
      <c r="AT154" s="1139">
        <f t="shared" si="46"/>
        <v>10</v>
      </c>
      <c r="AU154" s="1139">
        <f t="shared" si="46"/>
        <v>10</v>
      </c>
      <c r="AV154" s="1139">
        <f t="shared" si="46"/>
        <v>11</v>
      </c>
      <c r="AW154" s="1139">
        <f t="shared" si="47"/>
        <v>9</v>
      </c>
      <c r="AX154" s="1139"/>
      <c r="AY154" s="1139"/>
      <c r="AZ154" s="1139"/>
      <c r="BA154" s="1139"/>
      <c r="BB154" s="1139" t="str">
        <f t="shared" si="48"/>
        <v>Other special machines</v>
      </c>
      <c r="BC154" s="1139">
        <f t="shared" si="49"/>
        <v>9</v>
      </c>
      <c r="BD154" s="1139">
        <f t="shared" si="49"/>
        <v>9</v>
      </c>
      <c r="BE154" s="1139">
        <f t="shared" si="49"/>
        <v>11</v>
      </c>
      <c r="BF154" s="1139">
        <f t="shared" si="49"/>
        <v>11</v>
      </c>
      <c r="BG154" s="1139">
        <f t="shared" si="49"/>
        <v>10</v>
      </c>
      <c r="BH154" s="1139">
        <f t="shared" si="49"/>
        <v>7</v>
      </c>
      <c r="BI154" s="1139">
        <f t="shared" si="58"/>
        <v>9</v>
      </c>
      <c r="BJ154" s="1139"/>
      <c r="BK154" s="1139"/>
      <c r="BL154" s="1139"/>
      <c r="BM154" s="1139"/>
      <c r="BN154" s="1139" t="str">
        <f t="shared" si="50"/>
        <v>Audio-visual technology</v>
      </c>
      <c r="BO154" s="1139">
        <f t="shared" si="51"/>
        <v>6</v>
      </c>
      <c r="BP154" s="1139">
        <f t="shared" si="52"/>
        <v>6</v>
      </c>
      <c r="BQ154" s="1139">
        <f t="shared" si="53"/>
        <v>6</v>
      </c>
      <c r="BR154" s="1139">
        <f t="shared" si="54"/>
        <v>6</v>
      </c>
      <c r="BS154" s="1139">
        <f t="shared" si="55"/>
        <v>6</v>
      </c>
      <c r="BT154" s="1139">
        <f t="shared" si="56"/>
        <v>6</v>
      </c>
      <c r="BU154" s="1139">
        <f t="shared" si="57"/>
        <v>6</v>
      </c>
      <c r="BV154" s="1139"/>
      <c r="BW154" s="1139"/>
      <c r="BX154" s="1139"/>
      <c r="CC154" s="839"/>
    </row>
    <row r="155" spans="17:98" s="1098" customFormat="1">
      <c r="Q155" s="1138">
        <f t="shared" si="6"/>
        <v>6</v>
      </c>
      <c r="R155" s="1139" t="str">
        <f t="shared" si="39"/>
        <v>Computer technology</v>
      </c>
      <c r="S155" s="1139">
        <f t="shared" si="40"/>
        <v>6</v>
      </c>
      <c r="T155" s="1139">
        <f t="shared" si="40"/>
        <v>6</v>
      </c>
      <c r="U155" s="1139">
        <f t="shared" si="40"/>
        <v>5</v>
      </c>
      <c r="V155" s="1139">
        <f t="shared" si="40"/>
        <v>5</v>
      </c>
      <c r="W155" s="1139">
        <f t="shared" si="40"/>
        <v>5</v>
      </c>
      <c r="X155" s="1139">
        <f t="shared" si="40"/>
        <v>5</v>
      </c>
      <c r="Y155" s="1139">
        <f t="shared" si="41"/>
        <v>5</v>
      </c>
      <c r="Z155" s="1139"/>
      <c r="AA155" s="1139"/>
      <c r="AB155" s="1139"/>
      <c r="AC155" s="1139"/>
      <c r="AD155" s="1139" t="str">
        <f t="shared" si="42"/>
        <v>Measurement</v>
      </c>
      <c r="AE155" s="1139">
        <f t="shared" si="43"/>
        <v>7</v>
      </c>
      <c r="AF155" s="1139">
        <f t="shared" si="43"/>
        <v>7</v>
      </c>
      <c r="AG155" s="1139">
        <f t="shared" si="43"/>
        <v>4</v>
      </c>
      <c r="AH155" s="1139">
        <f t="shared" si="43"/>
        <v>5</v>
      </c>
      <c r="AI155" s="1139">
        <f t="shared" si="43"/>
        <v>4</v>
      </c>
      <c r="AJ155" s="1139">
        <f t="shared" si="43"/>
        <v>5</v>
      </c>
      <c r="AK155" s="1139">
        <f t="shared" si="44"/>
        <v>7</v>
      </c>
      <c r="AL155" s="1139"/>
      <c r="AM155" s="1139"/>
      <c r="AN155" s="1139"/>
      <c r="AO155" s="1139"/>
      <c r="AP155" s="1139" t="str">
        <f t="shared" si="45"/>
        <v>Civil engineering</v>
      </c>
      <c r="AQ155" s="1139">
        <f t="shared" si="46"/>
        <v>4</v>
      </c>
      <c r="AR155" s="1139">
        <f t="shared" si="46"/>
        <v>4</v>
      </c>
      <c r="AS155" s="1139">
        <f t="shared" si="46"/>
        <v>5</v>
      </c>
      <c r="AT155" s="1139">
        <f t="shared" si="46"/>
        <v>5</v>
      </c>
      <c r="AU155" s="1139">
        <f t="shared" si="46"/>
        <v>4</v>
      </c>
      <c r="AV155" s="1139">
        <f t="shared" si="46"/>
        <v>5</v>
      </c>
      <c r="AW155" s="1139">
        <f t="shared" si="47"/>
        <v>8</v>
      </c>
      <c r="AX155" s="1139"/>
      <c r="AY155" s="1139"/>
      <c r="AZ155" s="1139"/>
      <c r="BA155" s="1139"/>
      <c r="BB155" s="1139" t="str">
        <f t="shared" si="48"/>
        <v>Handling</v>
      </c>
      <c r="BC155" s="1139">
        <f t="shared" si="49"/>
        <v>10</v>
      </c>
      <c r="BD155" s="1139">
        <f t="shared" si="49"/>
        <v>10</v>
      </c>
      <c r="BE155" s="1139">
        <f t="shared" si="49"/>
        <v>10</v>
      </c>
      <c r="BF155" s="1139">
        <f t="shared" si="49"/>
        <v>11</v>
      </c>
      <c r="BG155" s="1139">
        <f t="shared" si="49"/>
        <v>11</v>
      </c>
      <c r="BH155" s="1139">
        <f t="shared" si="49"/>
        <v>11</v>
      </c>
      <c r="BI155" s="1139">
        <f t="shared" si="58"/>
        <v>11</v>
      </c>
      <c r="BJ155" s="1139"/>
      <c r="BK155" s="1139"/>
      <c r="BL155" s="1139"/>
      <c r="BM155" s="1139"/>
      <c r="BN155" s="1139" t="str">
        <f t="shared" si="50"/>
        <v>Semiconductors</v>
      </c>
      <c r="BO155" s="1139">
        <f t="shared" si="51"/>
        <v>4</v>
      </c>
      <c r="BP155" s="1139">
        <f t="shared" si="52"/>
        <v>4</v>
      </c>
      <c r="BQ155" s="1139">
        <f t="shared" si="53"/>
        <v>4</v>
      </c>
      <c r="BR155" s="1139">
        <f t="shared" si="54"/>
        <v>5</v>
      </c>
      <c r="BS155" s="1139">
        <f t="shared" si="55"/>
        <v>5</v>
      </c>
      <c r="BT155" s="1139">
        <f t="shared" si="56"/>
        <v>5</v>
      </c>
      <c r="BU155" s="1139">
        <f t="shared" si="57"/>
        <v>5</v>
      </c>
      <c r="BV155" s="1139"/>
      <c r="BW155" s="1139"/>
      <c r="BX155" s="1139"/>
      <c r="CC155" s="839"/>
    </row>
    <row r="156" spans="17:98" s="1098" customFormat="1">
      <c r="Q156" s="1138">
        <f t="shared" si="6"/>
        <v>7</v>
      </c>
      <c r="R156" s="1139" t="str">
        <f t="shared" si="39"/>
        <v>Transport</v>
      </c>
      <c r="S156" s="1139">
        <f t="shared" si="40"/>
        <v>4</v>
      </c>
      <c r="T156" s="1139">
        <f t="shared" si="40"/>
        <v>4</v>
      </c>
      <c r="U156" s="1139">
        <f t="shared" si="40"/>
        <v>4</v>
      </c>
      <c r="V156" s="1139">
        <f t="shared" si="40"/>
        <v>4</v>
      </c>
      <c r="W156" s="1139">
        <f t="shared" si="40"/>
        <v>4</v>
      </c>
      <c r="X156" s="1139">
        <f t="shared" si="40"/>
        <v>3</v>
      </c>
      <c r="Y156" s="1139">
        <f t="shared" si="41"/>
        <v>3</v>
      </c>
      <c r="Z156" s="1139"/>
      <c r="AA156" s="1139"/>
      <c r="AB156" s="1139"/>
      <c r="AC156" s="1139"/>
      <c r="AD156" s="1139" t="str">
        <f t="shared" si="42"/>
        <v>Transport</v>
      </c>
      <c r="AE156" s="1139">
        <f t="shared" si="43"/>
        <v>5</v>
      </c>
      <c r="AF156" s="1139">
        <f t="shared" si="43"/>
        <v>5</v>
      </c>
      <c r="AG156" s="1139">
        <f t="shared" si="43"/>
        <v>5</v>
      </c>
      <c r="AH156" s="1139">
        <f t="shared" si="43"/>
        <v>4</v>
      </c>
      <c r="AI156" s="1139">
        <f t="shared" si="43"/>
        <v>6</v>
      </c>
      <c r="AJ156" s="1139">
        <f t="shared" si="43"/>
        <v>6</v>
      </c>
      <c r="AK156" s="1139">
        <f t="shared" si="44"/>
        <v>8</v>
      </c>
      <c r="AL156" s="1139"/>
      <c r="AM156" s="1139"/>
      <c r="AN156" s="1139"/>
      <c r="AO156" s="1139"/>
      <c r="AP156" s="1139" t="str">
        <f t="shared" si="45"/>
        <v>Transport</v>
      </c>
      <c r="AQ156" s="1139">
        <f t="shared" si="46"/>
        <v>2</v>
      </c>
      <c r="AR156" s="1139">
        <f t="shared" si="46"/>
        <v>2</v>
      </c>
      <c r="AS156" s="1139">
        <f t="shared" si="46"/>
        <v>4</v>
      </c>
      <c r="AT156" s="1139">
        <f t="shared" si="46"/>
        <v>4</v>
      </c>
      <c r="AU156" s="1139">
        <f t="shared" si="46"/>
        <v>5</v>
      </c>
      <c r="AV156" s="1139">
        <f t="shared" si="46"/>
        <v>6</v>
      </c>
      <c r="AW156" s="1139">
        <f t="shared" si="47"/>
        <v>5</v>
      </c>
      <c r="AX156" s="1139"/>
      <c r="AY156" s="1139"/>
      <c r="AZ156" s="1139"/>
      <c r="BA156" s="1139"/>
      <c r="BB156" s="1139" t="str">
        <f t="shared" si="48"/>
        <v>Digital communication</v>
      </c>
      <c r="BC156" s="1139">
        <f t="shared" si="49"/>
        <v>5</v>
      </c>
      <c r="BD156" s="1139">
        <f t="shared" si="49"/>
        <v>5</v>
      </c>
      <c r="BE156" s="1139">
        <f t="shared" si="49"/>
        <v>4</v>
      </c>
      <c r="BF156" s="1139">
        <f t="shared" si="49"/>
        <v>4</v>
      </c>
      <c r="BG156" s="1139">
        <f t="shared" si="49"/>
        <v>4</v>
      </c>
      <c r="BH156" s="1139">
        <f t="shared" si="49"/>
        <v>3</v>
      </c>
      <c r="BI156" s="1139">
        <f t="shared" si="58"/>
        <v>3</v>
      </c>
      <c r="BJ156" s="1139"/>
      <c r="BK156" s="1139"/>
      <c r="BL156" s="1139"/>
      <c r="BM156" s="1139"/>
      <c r="BN156" s="1139" t="str">
        <f t="shared" si="50"/>
        <v>Medical technology</v>
      </c>
      <c r="BO156" s="1139">
        <f t="shared" si="51"/>
        <v>5</v>
      </c>
      <c r="BP156" s="1139">
        <f t="shared" si="52"/>
        <v>5</v>
      </c>
      <c r="BQ156" s="1139">
        <f t="shared" si="53"/>
        <v>5</v>
      </c>
      <c r="BR156" s="1139">
        <f t="shared" si="54"/>
        <v>4</v>
      </c>
      <c r="BS156" s="1139">
        <f t="shared" si="55"/>
        <v>4</v>
      </c>
      <c r="BT156" s="1139">
        <f t="shared" si="56"/>
        <v>3</v>
      </c>
      <c r="BU156" s="1139">
        <f t="shared" si="57"/>
        <v>3</v>
      </c>
      <c r="BV156" s="1139"/>
      <c r="BW156" s="1139"/>
      <c r="BX156" s="1139"/>
      <c r="CC156" s="839"/>
    </row>
    <row r="157" spans="17:98" s="1098" customFormat="1">
      <c r="Q157" s="1138">
        <f t="shared" si="6"/>
        <v>8</v>
      </c>
      <c r="R157" s="1139" t="str">
        <f t="shared" si="39"/>
        <v>Mechanical elements</v>
      </c>
      <c r="S157" s="1139">
        <f t="shared" si="40"/>
        <v>11</v>
      </c>
      <c r="T157" s="1139">
        <f t="shared" si="40"/>
        <v>11</v>
      </c>
      <c r="U157" s="1139">
        <f t="shared" si="40"/>
        <v>11</v>
      </c>
      <c r="V157" s="1139">
        <f t="shared" si="40"/>
        <v>11</v>
      </c>
      <c r="W157" s="1139">
        <f t="shared" si="40"/>
        <v>10</v>
      </c>
      <c r="X157" s="1139">
        <f t="shared" si="40"/>
        <v>10</v>
      </c>
      <c r="Y157" s="1139">
        <f t="shared" si="41"/>
        <v>10</v>
      </c>
      <c r="Z157" s="1139"/>
      <c r="AA157" s="1139"/>
      <c r="AB157" s="1139"/>
      <c r="AC157" s="1139"/>
      <c r="AD157" s="1139" t="str">
        <f t="shared" si="42"/>
        <v>Handling</v>
      </c>
      <c r="AE157" s="1139">
        <f t="shared" si="43"/>
        <v>11</v>
      </c>
      <c r="AF157" s="1139">
        <f t="shared" si="43"/>
        <v>11</v>
      </c>
      <c r="AG157" s="1139">
        <f t="shared" si="43"/>
        <v>11</v>
      </c>
      <c r="AH157" s="1139">
        <f t="shared" si="43"/>
        <v>11</v>
      </c>
      <c r="AI157" s="1139">
        <f t="shared" si="43"/>
        <v>10</v>
      </c>
      <c r="AJ157" s="1139">
        <f t="shared" si="43"/>
        <v>9</v>
      </c>
      <c r="AK157" s="1139">
        <f t="shared" si="44"/>
        <v>11</v>
      </c>
      <c r="AL157" s="1139"/>
      <c r="AM157" s="1139"/>
      <c r="AN157" s="1139"/>
      <c r="AO157" s="1139"/>
      <c r="AP157" s="1139" t="str">
        <f t="shared" si="45"/>
        <v>Semiconductors</v>
      </c>
      <c r="AQ157" s="1139">
        <f t="shared" si="46"/>
        <v>5</v>
      </c>
      <c r="AR157" s="1139">
        <f t="shared" si="46"/>
        <v>5</v>
      </c>
      <c r="AS157" s="1139">
        <f t="shared" si="46"/>
        <v>2</v>
      </c>
      <c r="AT157" s="1139">
        <f t="shared" si="46"/>
        <v>3</v>
      </c>
      <c r="AU157" s="1139">
        <f t="shared" si="46"/>
        <v>3</v>
      </c>
      <c r="AV157" s="1139">
        <f t="shared" si="46"/>
        <v>3</v>
      </c>
      <c r="AW157" s="1139">
        <f t="shared" si="47"/>
        <v>3</v>
      </c>
      <c r="AX157" s="1139"/>
      <c r="AY157" s="1139"/>
      <c r="AZ157" s="1139"/>
      <c r="BA157" s="1139"/>
      <c r="BB157" s="1139" t="str">
        <f t="shared" si="48"/>
        <v>Machine tools</v>
      </c>
      <c r="BC157" s="1139">
        <f t="shared" si="49"/>
        <v>4</v>
      </c>
      <c r="BD157" s="1139">
        <f t="shared" si="49"/>
        <v>4</v>
      </c>
      <c r="BE157" s="1139">
        <f t="shared" si="49"/>
        <v>5</v>
      </c>
      <c r="BF157" s="1139">
        <f t="shared" si="49"/>
        <v>5</v>
      </c>
      <c r="BG157" s="1139">
        <f t="shared" si="49"/>
        <v>5</v>
      </c>
      <c r="BH157" s="1139">
        <f t="shared" si="49"/>
        <v>5</v>
      </c>
      <c r="BI157" s="1139">
        <f t="shared" si="58"/>
        <v>5</v>
      </c>
      <c r="BJ157" s="1139"/>
      <c r="BK157" s="1139"/>
      <c r="BL157" s="1139"/>
      <c r="BM157" s="1139"/>
      <c r="BN157" s="1139" t="str">
        <f t="shared" si="50"/>
        <v>Electrical machinery, apparatus, energy</v>
      </c>
      <c r="BO157" s="1139">
        <f t="shared" si="51"/>
        <v>3</v>
      </c>
      <c r="BP157" s="1139">
        <f t="shared" si="52"/>
        <v>3</v>
      </c>
      <c r="BQ157" s="1139">
        <f t="shared" si="53"/>
        <v>3</v>
      </c>
      <c r="BR157" s="1139">
        <f t="shared" si="54"/>
        <v>3</v>
      </c>
      <c r="BS157" s="1139">
        <f t="shared" si="55"/>
        <v>3</v>
      </c>
      <c r="BT157" s="1139">
        <f t="shared" si="56"/>
        <v>4</v>
      </c>
      <c r="BU157" s="1139">
        <f t="shared" si="57"/>
        <v>4</v>
      </c>
      <c r="BV157" s="1139"/>
      <c r="BW157" s="1139"/>
      <c r="BX157" s="1139"/>
      <c r="CC157" s="839"/>
    </row>
    <row r="158" spans="17:98" s="1098" customFormat="1">
      <c r="Q158" s="1138">
        <f t="shared" si="6"/>
        <v>9</v>
      </c>
      <c r="R158" s="1139" t="str">
        <f t="shared" si="39"/>
        <v>Telecommunications</v>
      </c>
      <c r="S158" s="1139">
        <f t="shared" si="40"/>
        <v>11</v>
      </c>
      <c r="T158" s="1139">
        <f t="shared" si="40"/>
        <v>11</v>
      </c>
      <c r="U158" s="1139">
        <f t="shared" si="40"/>
        <v>10</v>
      </c>
      <c r="V158" s="1139">
        <f t="shared" si="40"/>
        <v>9</v>
      </c>
      <c r="W158" s="1139">
        <f t="shared" si="40"/>
        <v>11</v>
      </c>
      <c r="X158" s="1139">
        <f t="shared" si="40"/>
        <v>11</v>
      </c>
      <c r="Y158" s="1139">
        <f t="shared" si="41"/>
        <v>11</v>
      </c>
      <c r="Z158" s="1139"/>
      <c r="AA158" s="1139"/>
      <c r="AB158" s="1139"/>
      <c r="AC158" s="1139"/>
      <c r="AD158" s="1139" t="str">
        <f t="shared" si="42"/>
        <v>Furniture, games</v>
      </c>
      <c r="AE158" s="1139">
        <f t="shared" si="43"/>
        <v>3</v>
      </c>
      <c r="AF158" s="1139">
        <f t="shared" si="43"/>
        <v>3</v>
      </c>
      <c r="AG158" s="1139">
        <f t="shared" si="43"/>
        <v>3</v>
      </c>
      <c r="AH158" s="1139">
        <f t="shared" si="43"/>
        <v>3</v>
      </c>
      <c r="AI158" s="1139">
        <f t="shared" si="43"/>
        <v>2</v>
      </c>
      <c r="AJ158" s="1139">
        <f t="shared" si="43"/>
        <v>2</v>
      </c>
      <c r="AK158" s="1139">
        <f t="shared" si="44"/>
        <v>4</v>
      </c>
      <c r="AL158" s="1139"/>
      <c r="AM158" s="1139"/>
      <c r="AN158" s="1139"/>
      <c r="AO158" s="1139"/>
      <c r="AP158" s="1139" t="str">
        <f t="shared" si="45"/>
        <v>Computer technology</v>
      </c>
      <c r="AQ158" s="1139">
        <f t="shared" si="46"/>
        <v>3</v>
      </c>
      <c r="AR158" s="1139">
        <f t="shared" si="46"/>
        <v>3</v>
      </c>
      <c r="AS158" s="1139">
        <f t="shared" si="46"/>
        <v>3</v>
      </c>
      <c r="AT158" s="1139">
        <f t="shared" si="46"/>
        <v>2</v>
      </c>
      <c r="AU158" s="1139">
        <f t="shared" si="46"/>
        <v>2</v>
      </c>
      <c r="AV158" s="1139">
        <f t="shared" si="46"/>
        <v>2</v>
      </c>
      <c r="AW158" s="1139">
        <f t="shared" si="47"/>
        <v>2</v>
      </c>
      <c r="AX158" s="1139"/>
      <c r="AY158" s="1139"/>
      <c r="AZ158" s="1139"/>
      <c r="BA158" s="1139"/>
      <c r="BB158" s="1139" t="str">
        <f t="shared" si="48"/>
        <v>Measurement</v>
      </c>
      <c r="BC158" s="1139">
        <f t="shared" si="49"/>
        <v>3</v>
      </c>
      <c r="BD158" s="1139">
        <f t="shared" si="49"/>
        <v>3</v>
      </c>
      <c r="BE158" s="1139">
        <f t="shared" si="49"/>
        <v>3</v>
      </c>
      <c r="BF158" s="1139">
        <f t="shared" si="49"/>
        <v>3</v>
      </c>
      <c r="BG158" s="1139">
        <f t="shared" si="49"/>
        <v>2</v>
      </c>
      <c r="BH158" s="1139">
        <f t="shared" si="49"/>
        <v>2</v>
      </c>
      <c r="BI158" s="1139">
        <f t="shared" si="58"/>
        <v>2</v>
      </c>
      <c r="BJ158" s="1139"/>
      <c r="BK158" s="1139"/>
      <c r="BL158" s="1139"/>
      <c r="BM158" s="1139"/>
      <c r="BN158" s="1139" t="str">
        <f t="shared" si="50"/>
        <v>Digital communication</v>
      </c>
      <c r="BO158" s="1139">
        <f t="shared" si="51"/>
        <v>2</v>
      </c>
      <c r="BP158" s="1139">
        <f t="shared" si="52"/>
        <v>2</v>
      </c>
      <c r="BQ158" s="1139">
        <f t="shared" si="53"/>
        <v>2</v>
      </c>
      <c r="BR158" s="1139">
        <f t="shared" si="54"/>
        <v>2</v>
      </c>
      <c r="BS158" s="1139">
        <f t="shared" si="55"/>
        <v>2</v>
      </c>
      <c r="BT158" s="1139">
        <f t="shared" si="56"/>
        <v>2</v>
      </c>
      <c r="BU158" s="1139">
        <f>IF(VLOOKUP($BN158,$BN$98:$BU$132,BU$148,FALSE)=0,BX141,VLOOKUP($BN158,$BN$98:$BU$132,BU$148,FALSE))</f>
        <v>2</v>
      </c>
      <c r="BV158" s="1139"/>
      <c r="BW158" s="1139"/>
      <c r="BX158" s="1139"/>
      <c r="CC158" s="839"/>
    </row>
    <row r="159" spans="17:98" s="1098" customFormat="1">
      <c r="Q159" s="1138">
        <f t="shared" si="6"/>
        <v>10</v>
      </c>
      <c r="R159" s="1139" t="str">
        <f t="shared" si="39"/>
        <v>Electrical machinery, apparatus, energy</v>
      </c>
      <c r="S159" s="1139">
        <f t="shared" si="40"/>
        <v>2</v>
      </c>
      <c r="T159" s="1139">
        <f t="shared" si="40"/>
        <v>2</v>
      </c>
      <c r="U159" s="1139">
        <f t="shared" si="40"/>
        <v>3</v>
      </c>
      <c r="V159" s="1139">
        <f t="shared" si="40"/>
        <v>3</v>
      </c>
      <c r="W159" s="1139">
        <f t="shared" si="40"/>
        <v>3</v>
      </c>
      <c r="X159" s="1139">
        <f t="shared" si="40"/>
        <v>4</v>
      </c>
      <c r="Y159" s="1139">
        <f t="shared" si="41"/>
        <v>4</v>
      </c>
      <c r="Z159" s="1139"/>
      <c r="AA159" s="1139"/>
      <c r="AB159" s="1139"/>
      <c r="AC159" s="1139"/>
      <c r="AD159" s="1139" t="str">
        <f t="shared" si="42"/>
        <v>Computer technology</v>
      </c>
      <c r="AE159" s="1139">
        <f t="shared" si="43"/>
        <v>2</v>
      </c>
      <c r="AF159" s="1139">
        <f t="shared" si="43"/>
        <v>2</v>
      </c>
      <c r="AG159" s="1139">
        <f t="shared" si="43"/>
        <v>2</v>
      </c>
      <c r="AH159" s="1139">
        <f t="shared" si="43"/>
        <v>2</v>
      </c>
      <c r="AI159" s="1139">
        <f t="shared" si="43"/>
        <v>3</v>
      </c>
      <c r="AJ159" s="1139">
        <f t="shared" si="43"/>
        <v>3</v>
      </c>
      <c r="AK159" s="1139">
        <f t="shared" si="44"/>
        <v>5</v>
      </c>
      <c r="AL159" s="1139"/>
      <c r="AM159" s="1139"/>
      <c r="AN159" s="1139"/>
      <c r="AO159" s="1139"/>
      <c r="AP159" s="1139" t="str">
        <f t="shared" si="45"/>
        <v>IT methods for management</v>
      </c>
      <c r="AQ159" s="1139">
        <f t="shared" si="46"/>
        <v>11</v>
      </c>
      <c r="AR159" s="1139">
        <f t="shared" si="46"/>
        <v>11</v>
      </c>
      <c r="AS159" s="1139">
        <f t="shared" si="46"/>
        <v>11</v>
      </c>
      <c r="AT159" s="1139">
        <f t="shared" si="46"/>
        <v>11</v>
      </c>
      <c r="AU159" s="1139">
        <f t="shared" si="46"/>
        <v>11</v>
      </c>
      <c r="AV159" s="1139">
        <f t="shared" si="46"/>
        <v>8</v>
      </c>
      <c r="AW159" s="1139">
        <f t="shared" si="47"/>
        <v>6</v>
      </c>
      <c r="AX159" s="1139"/>
      <c r="AY159" s="1139"/>
      <c r="AZ159" s="1139"/>
      <c r="BA159" s="1139"/>
      <c r="BB159" s="1139" t="str">
        <f t="shared" si="48"/>
        <v>Electrical machinery, apparatus, energy</v>
      </c>
      <c r="BC159" s="1139">
        <f t="shared" si="49"/>
        <v>1</v>
      </c>
      <c r="BD159" s="1139">
        <f t="shared" si="49"/>
        <v>1</v>
      </c>
      <c r="BE159" s="1139">
        <f t="shared" si="49"/>
        <v>2</v>
      </c>
      <c r="BF159" s="1139">
        <f t="shared" si="49"/>
        <v>2</v>
      </c>
      <c r="BG159" s="1139">
        <f t="shared" si="49"/>
        <v>3</v>
      </c>
      <c r="BH159" s="1139">
        <f t="shared" si="49"/>
        <v>4</v>
      </c>
      <c r="BI159" s="1139">
        <f t="shared" si="58"/>
        <v>4</v>
      </c>
      <c r="BJ159" s="1139"/>
      <c r="BK159" s="1139"/>
      <c r="BL159" s="1139"/>
      <c r="BM159" s="1139"/>
      <c r="BN159" s="1139" t="str">
        <f t="shared" si="50"/>
        <v>Computer technology</v>
      </c>
      <c r="BO159" s="1139">
        <f t="shared" si="51"/>
        <v>1</v>
      </c>
      <c r="BP159" s="1139">
        <f t="shared" si="52"/>
        <v>1</v>
      </c>
      <c r="BQ159" s="1139">
        <f t="shared" si="53"/>
        <v>1</v>
      </c>
      <c r="BR159" s="1139">
        <f t="shared" si="54"/>
        <v>1</v>
      </c>
      <c r="BS159" s="1139">
        <f t="shared" si="55"/>
        <v>1</v>
      </c>
      <c r="BT159" s="1139">
        <f t="shared" si="56"/>
        <v>1</v>
      </c>
      <c r="BU159" s="1139">
        <f>IF(VLOOKUP($BN159,$BN$98:$BU$132,BU$148,FALSE)=0,BX142,VLOOKUP($BN159,$BN$98:$BU$132,BU$148,FALSE))</f>
        <v>1</v>
      </c>
      <c r="BV159" s="1139"/>
      <c r="BW159" s="1139"/>
      <c r="BX159" s="1139"/>
      <c r="CC159" s="839"/>
    </row>
    <row r="160" spans="17:98" s="1098" customFormat="1">
      <c r="Q160" s="1138">
        <f t="shared" si="6"/>
        <v>11</v>
      </c>
      <c r="R160" s="1139" t="str">
        <f t="shared" si="39"/>
        <v>Digital communication</v>
      </c>
      <c r="S160" s="1139">
        <f t="shared" si="40"/>
        <v>3</v>
      </c>
      <c r="T160" s="1139">
        <f t="shared" si="40"/>
        <v>3</v>
      </c>
      <c r="U160" s="1139">
        <f t="shared" si="40"/>
        <v>1</v>
      </c>
      <c r="V160" s="1139">
        <f t="shared" si="40"/>
        <v>1</v>
      </c>
      <c r="W160" s="1139">
        <f t="shared" si="40"/>
        <v>1</v>
      </c>
      <c r="X160" s="1139">
        <f t="shared" si="40"/>
        <v>1</v>
      </c>
      <c r="Y160" s="1139">
        <f t="shared" si="41"/>
        <v>1</v>
      </c>
      <c r="Z160" s="1139"/>
      <c r="AA160" s="1139"/>
      <c r="AB160" s="1139"/>
      <c r="AC160" s="1139"/>
      <c r="AD160" s="1139" t="str">
        <f t="shared" si="42"/>
        <v>Electrical machinery, apparatus, energy</v>
      </c>
      <c r="AE160" s="1139">
        <f t="shared" si="43"/>
        <v>1</v>
      </c>
      <c r="AF160" s="1139">
        <f t="shared" si="43"/>
        <v>1</v>
      </c>
      <c r="AG160" s="1139">
        <f t="shared" si="43"/>
        <v>1</v>
      </c>
      <c r="AH160" s="1139">
        <f t="shared" si="43"/>
        <v>1</v>
      </c>
      <c r="AI160" s="1139">
        <f t="shared" si="43"/>
        <v>1</v>
      </c>
      <c r="AJ160" s="1139">
        <f t="shared" si="43"/>
        <v>1</v>
      </c>
      <c r="AK160" s="1139">
        <f t="shared" si="44"/>
        <v>1</v>
      </c>
      <c r="AL160" s="1139"/>
      <c r="AM160" s="1139"/>
      <c r="AN160" s="1139"/>
      <c r="AO160" s="1139"/>
      <c r="AP160" s="1139" t="str">
        <f t="shared" si="45"/>
        <v>Optics</v>
      </c>
      <c r="AQ160" s="1139">
        <f t="shared" si="46"/>
        <v>11</v>
      </c>
      <c r="AR160" s="1139">
        <f t="shared" si="46"/>
        <v>11</v>
      </c>
      <c r="AS160" s="1139">
        <f t="shared" si="46"/>
        <v>10</v>
      </c>
      <c r="AT160" s="1139">
        <f t="shared" si="46"/>
        <v>11</v>
      </c>
      <c r="AU160" s="1139">
        <f t="shared" si="46"/>
        <v>11</v>
      </c>
      <c r="AV160" s="1139">
        <f t="shared" si="46"/>
        <v>11</v>
      </c>
      <c r="AW160" s="1139">
        <f t="shared" si="47"/>
        <v>11</v>
      </c>
      <c r="AX160" s="1139"/>
      <c r="AY160" s="1139"/>
      <c r="AZ160" s="1139"/>
      <c r="BA160" s="1139"/>
      <c r="BB160" s="1139" t="str">
        <f t="shared" si="48"/>
        <v>Audio-visual technology</v>
      </c>
      <c r="BC160" s="1139">
        <f t="shared" si="49"/>
        <v>11</v>
      </c>
      <c r="BD160" s="1139">
        <f t="shared" si="49"/>
        <v>11</v>
      </c>
      <c r="BE160" s="1139">
        <f t="shared" si="49"/>
        <v>11</v>
      </c>
      <c r="BF160" s="1139">
        <f t="shared" si="49"/>
        <v>8</v>
      </c>
      <c r="BG160" s="1139">
        <f t="shared" si="49"/>
        <v>11</v>
      </c>
      <c r="BH160" s="1139">
        <f t="shared" si="49"/>
        <v>11</v>
      </c>
      <c r="BI160" s="1139">
        <f t="shared" si="58"/>
        <v>11</v>
      </c>
      <c r="BJ160" s="1139"/>
      <c r="BK160" s="1139"/>
      <c r="BL160" s="1139"/>
      <c r="BM160" s="1139"/>
      <c r="BN160" s="1139" t="str">
        <f t="shared" si="50"/>
        <v/>
      </c>
      <c r="BO160" s="1139"/>
      <c r="BP160" s="1139"/>
      <c r="BQ160" s="1139"/>
      <c r="BR160" s="1139"/>
      <c r="BS160" s="1139"/>
      <c r="BT160" s="1139"/>
      <c r="BU160" s="1139"/>
      <c r="BV160" s="1139"/>
      <c r="BW160" s="1139"/>
      <c r="BX160" s="1139"/>
      <c r="CC160" s="839"/>
    </row>
    <row r="161" spans="17:81" s="1098" customFormat="1">
      <c r="Q161" s="1138">
        <f t="shared" si="6"/>
        <v>12</v>
      </c>
      <c r="R161" s="1139" t="str">
        <f t="shared" si="39"/>
        <v>Medical technology</v>
      </c>
      <c r="S161" s="1139">
        <f t="shared" si="40"/>
        <v>1</v>
      </c>
      <c r="T161" s="1139">
        <f t="shared" si="40"/>
        <v>1</v>
      </c>
      <c r="U161" s="1139">
        <f t="shared" si="40"/>
        <v>2</v>
      </c>
      <c r="V161" s="1139">
        <f t="shared" si="40"/>
        <v>2</v>
      </c>
      <c r="W161" s="1139">
        <f t="shared" si="40"/>
        <v>2</v>
      </c>
      <c r="X161" s="1139">
        <f t="shared" si="40"/>
        <v>2</v>
      </c>
      <c r="Y161" s="1139">
        <f t="shared" si="41"/>
        <v>2</v>
      </c>
      <c r="Z161" s="1139"/>
      <c r="AA161" s="1139"/>
      <c r="AB161" s="1139"/>
      <c r="AC161" s="1139"/>
      <c r="AD161" s="1139" t="str">
        <f t="shared" si="42"/>
        <v/>
      </c>
      <c r="AE161" s="1139"/>
      <c r="AF161" s="1139"/>
      <c r="AG161" s="1139"/>
      <c r="AH161" s="1139"/>
      <c r="AI161" s="1139"/>
      <c r="AJ161" s="1139"/>
      <c r="AK161" s="1139"/>
      <c r="AL161" s="1139"/>
      <c r="AM161" s="1139"/>
      <c r="AN161" s="1139"/>
      <c r="AO161" s="1139"/>
      <c r="AP161" s="1139" t="str">
        <f t="shared" si="45"/>
        <v>Electrical machinery, apparatus, energy</v>
      </c>
      <c r="AQ161" s="1139">
        <f t="shared" si="46"/>
        <v>1</v>
      </c>
      <c r="AR161" s="1139">
        <f t="shared" si="46"/>
        <v>1</v>
      </c>
      <c r="AS161" s="1139">
        <f t="shared" si="46"/>
        <v>1</v>
      </c>
      <c r="AT161" s="1139">
        <f t="shared" si="46"/>
        <v>1</v>
      </c>
      <c r="AU161" s="1139">
        <f t="shared" si="46"/>
        <v>1</v>
      </c>
      <c r="AV161" s="1139">
        <f t="shared" si="46"/>
        <v>1</v>
      </c>
      <c r="AW161" s="1139">
        <f t="shared" si="47"/>
        <v>1</v>
      </c>
      <c r="AX161" s="1139"/>
      <c r="AY161" s="1139"/>
      <c r="AZ161" s="1139"/>
      <c r="BA161" s="1139"/>
      <c r="BB161" s="1139" t="str">
        <f t="shared" si="48"/>
        <v>Computer technology</v>
      </c>
      <c r="BC161" s="1139">
        <f t="shared" si="49"/>
        <v>2</v>
      </c>
      <c r="BD161" s="1139">
        <f t="shared" si="49"/>
        <v>2</v>
      </c>
      <c r="BE161" s="1139">
        <f t="shared" si="49"/>
        <v>1</v>
      </c>
      <c r="BF161" s="1139">
        <f t="shared" si="49"/>
        <v>1</v>
      </c>
      <c r="BG161" s="1139">
        <f t="shared" si="49"/>
        <v>1</v>
      </c>
      <c r="BH161" s="1139">
        <f t="shared" si="49"/>
        <v>1</v>
      </c>
      <c r="BI161" s="1139">
        <f t="shared" si="58"/>
        <v>1</v>
      </c>
      <c r="BJ161" s="1139"/>
      <c r="BK161" s="1139"/>
      <c r="BL161" s="1139"/>
      <c r="BM161" s="1139"/>
      <c r="BN161" s="1139" t="str">
        <f t="shared" si="50"/>
        <v/>
      </c>
      <c r="BO161" s="1139"/>
      <c r="BP161" s="1139"/>
      <c r="BQ161" s="1139"/>
      <c r="BR161" s="1139"/>
      <c r="BS161" s="1139"/>
      <c r="BT161" s="1139"/>
      <c r="BU161" s="1139"/>
      <c r="BV161" s="1139"/>
      <c r="BW161" s="1139"/>
      <c r="BX161" s="1139"/>
      <c r="CC161" s="839"/>
    </row>
    <row r="162" spans="17:81" s="1098" customFormat="1">
      <c r="Q162" s="1138">
        <f t="shared" si="6"/>
        <v>13</v>
      </c>
      <c r="R162" s="1139" t="str">
        <f t="shared" si="39"/>
        <v/>
      </c>
      <c r="S162" s="1139"/>
      <c r="T162" s="1139"/>
      <c r="U162" s="1139"/>
      <c r="V162" s="1139"/>
      <c r="W162" s="1139"/>
      <c r="X162" s="1139"/>
      <c r="Y162" s="1139"/>
      <c r="Z162" s="1139"/>
      <c r="AA162" s="1139"/>
      <c r="AB162" s="1139"/>
      <c r="AC162" s="1139"/>
      <c r="AD162" s="1139" t="str">
        <f t="shared" si="42"/>
        <v/>
      </c>
      <c r="AE162" s="1139"/>
      <c r="AF162" s="1139"/>
      <c r="AG162" s="1139"/>
      <c r="AH162" s="1139"/>
      <c r="AI162" s="1139"/>
      <c r="AJ162" s="1139"/>
      <c r="AK162" s="1139"/>
      <c r="AL162" s="1139"/>
      <c r="AM162" s="1139"/>
      <c r="AN162" s="1139"/>
      <c r="AO162" s="1139"/>
      <c r="AP162" s="1139" t="str">
        <f t="shared" si="45"/>
        <v/>
      </c>
      <c r="AQ162" s="1139"/>
      <c r="AR162" s="1139"/>
      <c r="AS162" s="1139"/>
      <c r="AT162" s="1139"/>
      <c r="AU162" s="1139"/>
      <c r="AV162" s="1139"/>
      <c r="AW162" s="1139"/>
      <c r="AX162" s="1139"/>
      <c r="AY162" s="1139"/>
      <c r="AZ162" s="1139"/>
      <c r="BA162" s="1139"/>
      <c r="BB162" s="1139" t="str">
        <f t="shared" si="48"/>
        <v/>
      </c>
      <c r="BC162" s="1139"/>
      <c r="BD162" s="1139"/>
      <c r="BE162" s="1139"/>
      <c r="BF162" s="1139"/>
      <c r="BG162" s="1139"/>
      <c r="BH162" s="1139"/>
      <c r="BI162" s="1139"/>
      <c r="BJ162" s="1139"/>
      <c r="BK162" s="1139"/>
      <c r="BL162" s="1139"/>
      <c r="BM162" s="1139"/>
      <c r="BN162" s="1139" t="str">
        <f t="shared" si="50"/>
        <v/>
      </c>
      <c r="BO162" s="1139"/>
      <c r="BP162" s="1139"/>
      <c r="BQ162" s="1139"/>
      <c r="BR162" s="1139"/>
      <c r="BS162" s="1139"/>
      <c r="BT162" s="1139"/>
      <c r="BU162" s="1139"/>
      <c r="BV162" s="1139"/>
      <c r="BW162" s="1139"/>
      <c r="BX162" s="1139"/>
      <c r="CC162" s="839"/>
    </row>
    <row r="163" spans="17:81" s="1098" customFormat="1">
      <c r="Q163" s="1138">
        <f t="shared" ref="Q163:Q176" si="59">Q162+1</f>
        <v>14</v>
      </c>
      <c r="R163" s="1139" t="str">
        <f t="shared" si="39"/>
        <v/>
      </c>
      <c r="S163" s="1139"/>
      <c r="T163" s="1139"/>
      <c r="U163" s="1139"/>
      <c r="V163" s="1139"/>
      <c r="W163" s="1139"/>
      <c r="X163" s="1139"/>
      <c r="Y163" s="1139"/>
      <c r="Z163" s="1139"/>
      <c r="AA163" s="1139"/>
      <c r="AB163" s="1139"/>
      <c r="AC163" s="1139"/>
      <c r="AD163" s="1139" t="str">
        <f t="shared" si="42"/>
        <v/>
      </c>
      <c r="AE163" s="1139"/>
      <c r="AF163" s="1139"/>
      <c r="AG163" s="1139"/>
      <c r="AH163" s="1139"/>
      <c r="AI163" s="1139"/>
      <c r="AJ163" s="1139"/>
      <c r="AK163" s="1139"/>
      <c r="AL163" s="1139"/>
      <c r="AM163" s="1139"/>
      <c r="AN163" s="1139"/>
      <c r="AO163" s="1139"/>
      <c r="AP163" s="1139" t="str">
        <f t="shared" si="45"/>
        <v/>
      </c>
      <c r="AQ163" s="1139"/>
      <c r="AR163" s="1139"/>
      <c r="AS163" s="1139"/>
      <c r="AT163" s="1139"/>
      <c r="AU163" s="1139"/>
      <c r="AV163" s="1139"/>
      <c r="AW163" s="1139"/>
      <c r="AX163" s="1139"/>
      <c r="AY163" s="1139"/>
      <c r="AZ163" s="1139"/>
      <c r="BA163" s="1139"/>
      <c r="BB163" s="1139" t="str">
        <f t="shared" si="48"/>
        <v/>
      </c>
      <c r="BC163" s="1139"/>
      <c r="BD163" s="1139"/>
      <c r="BE163" s="1139"/>
      <c r="BF163" s="1139"/>
      <c r="BG163" s="1139"/>
      <c r="BH163" s="1139"/>
      <c r="BI163" s="1139"/>
      <c r="BJ163" s="1139"/>
      <c r="BK163" s="1139"/>
      <c r="BL163" s="1139"/>
      <c r="BM163" s="1139"/>
      <c r="BN163" s="1139" t="str">
        <f t="shared" si="50"/>
        <v/>
      </c>
      <c r="BO163" s="1139"/>
      <c r="BP163" s="1139"/>
      <c r="BQ163" s="1139"/>
      <c r="BR163" s="1139"/>
      <c r="BS163" s="1139"/>
      <c r="BT163" s="1139"/>
      <c r="BU163" s="1139"/>
      <c r="BV163" s="1139"/>
      <c r="BW163" s="1139"/>
      <c r="BX163" s="1139"/>
      <c r="CC163" s="839"/>
    </row>
    <row r="164" spans="17:81" s="1098" customFormat="1">
      <c r="Q164" s="1138">
        <f t="shared" si="59"/>
        <v>15</v>
      </c>
      <c r="R164" s="1139" t="str">
        <f t="shared" si="39"/>
        <v/>
      </c>
      <c r="S164" s="1139"/>
      <c r="T164" s="1139"/>
      <c r="U164" s="1139"/>
      <c r="V164" s="1139"/>
      <c r="W164" s="1139"/>
      <c r="X164" s="1139"/>
      <c r="Y164" s="1139"/>
      <c r="Z164" s="1139"/>
      <c r="AA164" s="1139"/>
      <c r="AB164" s="1139"/>
      <c r="AC164" s="1139"/>
      <c r="AD164" s="1139" t="str">
        <f t="shared" si="42"/>
        <v/>
      </c>
      <c r="AE164" s="1139"/>
      <c r="AF164" s="1139"/>
      <c r="AG164" s="1139"/>
      <c r="AH164" s="1139"/>
      <c r="AI164" s="1139"/>
      <c r="AJ164" s="1139"/>
      <c r="AK164" s="1139"/>
      <c r="AL164" s="1139"/>
      <c r="AM164" s="1139"/>
      <c r="AN164" s="1139"/>
      <c r="AO164" s="1139"/>
      <c r="AP164" s="1139" t="str">
        <f t="shared" si="45"/>
        <v/>
      </c>
      <c r="AQ164" s="1139"/>
      <c r="AR164" s="1139"/>
      <c r="AS164" s="1139"/>
      <c r="AT164" s="1139"/>
      <c r="AU164" s="1139"/>
      <c r="AV164" s="1139"/>
      <c r="AW164" s="1139"/>
      <c r="AX164" s="1139"/>
      <c r="AY164" s="1139"/>
      <c r="AZ164" s="1139"/>
      <c r="BA164" s="1139"/>
      <c r="BB164" s="1139" t="str">
        <f t="shared" si="48"/>
        <v/>
      </c>
      <c r="BC164" s="1139"/>
      <c r="BD164" s="1139"/>
      <c r="BE164" s="1139"/>
      <c r="BF164" s="1139"/>
      <c r="BG164" s="1139"/>
      <c r="BH164" s="1139"/>
      <c r="BI164" s="1139"/>
      <c r="BJ164" s="1139"/>
      <c r="BK164" s="1139"/>
      <c r="BL164" s="1139"/>
      <c r="BM164" s="1139"/>
      <c r="BN164" s="1139" t="str">
        <f t="shared" si="50"/>
        <v/>
      </c>
      <c r="BO164" s="1139"/>
      <c r="BP164" s="1139"/>
      <c r="BQ164" s="1139"/>
      <c r="BR164" s="1139"/>
      <c r="BS164" s="1139"/>
      <c r="BT164" s="1139"/>
      <c r="BU164" s="1139"/>
      <c r="BV164" s="1139"/>
      <c r="BW164" s="1139"/>
      <c r="BX164" s="1139"/>
      <c r="CC164" s="839"/>
    </row>
    <row r="165" spans="17:81" s="1098" customFormat="1">
      <c r="Q165" s="1138">
        <f t="shared" si="59"/>
        <v>16</v>
      </c>
      <c r="R165" s="1139" t="str">
        <f t="shared" si="39"/>
        <v/>
      </c>
      <c r="S165" s="1139"/>
      <c r="T165" s="1139"/>
      <c r="U165" s="1139"/>
      <c r="V165" s="1139"/>
      <c r="W165" s="1139"/>
      <c r="X165" s="1139"/>
      <c r="Y165" s="1139"/>
      <c r="Z165" s="1139"/>
      <c r="AA165" s="1139"/>
      <c r="AB165" s="1139"/>
      <c r="AC165" s="1139"/>
      <c r="AD165" s="1139" t="str">
        <f t="shared" si="42"/>
        <v/>
      </c>
      <c r="AE165" s="1139"/>
      <c r="AF165" s="1139"/>
      <c r="AG165" s="1139"/>
      <c r="AH165" s="1139"/>
      <c r="AI165" s="1139"/>
      <c r="AJ165" s="1139"/>
      <c r="AK165" s="1139"/>
      <c r="AL165" s="1139"/>
      <c r="AM165" s="1139"/>
      <c r="AN165" s="1139"/>
      <c r="AO165" s="1139"/>
      <c r="AP165" s="1139" t="str">
        <f t="shared" si="45"/>
        <v/>
      </c>
      <c r="AQ165" s="1139"/>
      <c r="AR165" s="1139"/>
      <c r="AS165" s="1139"/>
      <c r="AT165" s="1139"/>
      <c r="AU165" s="1139"/>
      <c r="AV165" s="1139"/>
      <c r="AW165" s="1139"/>
      <c r="AX165" s="1139"/>
      <c r="AY165" s="1139"/>
      <c r="AZ165" s="1139"/>
      <c r="BA165" s="1139"/>
      <c r="BB165" s="1139" t="str">
        <f t="shared" si="48"/>
        <v/>
      </c>
      <c r="BC165" s="1139"/>
      <c r="BD165" s="1139"/>
      <c r="BE165" s="1139"/>
      <c r="BF165" s="1139"/>
      <c r="BG165" s="1139"/>
      <c r="BH165" s="1139"/>
      <c r="BI165" s="1139"/>
      <c r="BJ165" s="1139"/>
      <c r="BK165" s="1139"/>
      <c r="BL165" s="1139"/>
      <c r="BM165" s="1139"/>
      <c r="BN165" s="1139" t="str">
        <f t="shared" si="50"/>
        <v/>
      </c>
      <c r="BO165" s="1139"/>
      <c r="BP165" s="1139"/>
      <c r="BQ165" s="1139"/>
      <c r="BR165" s="1139"/>
      <c r="BS165" s="1139"/>
      <c r="BT165" s="1139"/>
      <c r="BU165" s="1139"/>
      <c r="BV165" s="1139"/>
      <c r="BW165" s="1139"/>
      <c r="BX165" s="1139"/>
      <c r="CC165" s="839"/>
    </row>
    <row r="166" spans="17:81" s="1086" customFormat="1">
      <c r="Q166" s="1113">
        <f t="shared" si="59"/>
        <v>17</v>
      </c>
      <c r="R166" s="1135" t="str">
        <f t="shared" si="39"/>
        <v/>
      </c>
      <c r="S166" s="1135"/>
      <c r="T166" s="1135"/>
      <c r="U166" s="1135"/>
      <c r="V166" s="1135"/>
      <c r="W166" s="1135"/>
      <c r="X166" s="1135"/>
      <c r="Y166" s="1135"/>
      <c r="Z166" s="1135"/>
      <c r="AA166" s="1135"/>
      <c r="AB166" s="1135"/>
      <c r="AC166" s="1135"/>
      <c r="AD166" s="1135" t="str">
        <f t="shared" si="42"/>
        <v/>
      </c>
      <c r="AE166" s="1135"/>
      <c r="AF166" s="1135"/>
      <c r="AG166" s="1135"/>
      <c r="AH166" s="1135"/>
      <c r="AI166" s="1135"/>
      <c r="AJ166" s="1135"/>
      <c r="AK166" s="1135"/>
      <c r="AL166" s="1135"/>
      <c r="AM166" s="1135"/>
      <c r="AN166" s="1135"/>
      <c r="AO166" s="1135"/>
      <c r="AP166" s="1135" t="str">
        <f t="shared" si="45"/>
        <v/>
      </c>
      <c r="AQ166" s="1135"/>
      <c r="AR166" s="1135"/>
      <c r="AS166" s="1135"/>
      <c r="AT166" s="1135"/>
      <c r="AU166" s="1135"/>
      <c r="AV166" s="1135"/>
      <c r="AW166" s="1135"/>
      <c r="AX166" s="1135"/>
      <c r="AY166" s="1135"/>
      <c r="AZ166" s="1135"/>
      <c r="BA166" s="1135"/>
      <c r="BB166" s="1135" t="str">
        <f t="shared" si="48"/>
        <v/>
      </c>
      <c r="BC166" s="1135"/>
      <c r="BD166" s="1135"/>
      <c r="BE166" s="1135"/>
      <c r="BF166" s="1135"/>
      <c r="BG166" s="1135"/>
      <c r="BH166" s="1135"/>
      <c r="BI166" s="1135"/>
      <c r="BJ166" s="1135"/>
      <c r="BK166" s="1135"/>
      <c r="BL166" s="1135"/>
      <c r="BM166" s="1135"/>
      <c r="BN166" s="1135" t="str">
        <f t="shared" si="50"/>
        <v/>
      </c>
      <c r="BO166" s="1135"/>
      <c r="BP166" s="1135"/>
      <c r="BQ166" s="1135"/>
      <c r="BR166" s="1135"/>
      <c r="BS166" s="1135"/>
      <c r="BT166" s="1135"/>
      <c r="BU166" s="1135"/>
      <c r="BV166" s="1135"/>
      <c r="BW166" s="1135"/>
      <c r="BX166" s="1135"/>
      <c r="CC166" s="1091"/>
    </row>
    <row r="167" spans="17:81" s="1086" customFormat="1">
      <c r="Q167" s="1113">
        <f t="shared" si="59"/>
        <v>18</v>
      </c>
      <c r="R167" s="1135" t="str">
        <f t="shared" si="39"/>
        <v/>
      </c>
      <c r="S167" s="1135"/>
      <c r="T167" s="1135"/>
      <c r="U167" s="1135"/>
      <c r="V167" s="1135"/>
      <c r="W167" s="1135"/>
      <c r="X167" s="1135"/>
      <c r="Y167" s="1135"/>
      <c r="Z167" s="1135"/>
      <c r="AA167" s="1135"/>
      <c r="AB167" s="1135"/>
      <c r="AC167" s="1135"/>
      <c r="AD167" s="1135" t="str">
        <f t="shared" si="42"/>
        <v/>
      </c>
      <c r="AE167" s="1135"/>
      <c r="AF167" s="1135"/>
      <c r="AG167" s="1135"/>
      <c r="AH167" s="1135"/>
      <c r="AI167" s="1135"/>
      <c r="AJ167" s="1135"/>
      <c r="AK167" s="1135"/>
      <c r="AL167" s="1135"/>
      <c r="AM167" s="1135"/>
      <c r="AN167" s="1135"/>
      <c r="AO167" s="1135"/>
      <c r="AP167" s="1135" t="str">
        <f t="shared" si="45"/>
        <v/>
      </c>
      <c r="AQ167" s="1135"/>
      <c r="AR167" s="1135"/>
      <c r="AS167" s="1135"/>
      <c r="AT167" s="1135"/>
      <c r="AU167" s="1135"/>
      <c r="AV167" s="1135"/>
      <c r="AW167" s="1135"/>
      <c r="AX167" s="1135"/>
      <c r="AY167" s="1135"/>
      <c r="AZ167" s="1135"/>
      <c r="BA167" s="1135"/>
      <c r="BB167" s="1135" t="str">
        <f t="shared" si="48"/>
        <v/>
      </c>
      <c r="BC167" s="1135"/>
      <c r="BD167" s="1135"/>
      <c r="BE167" s="1135"/>
      <c r="BF167" s="1135"/>
      <c r="BG167" s="1135"/>
      <c r="BH167" s="1135"/>
      <c r="BI167" s="1135"/>
      <c r="BJ167" s="1135"/>
      <c r="BK167" s="1135"/>
      <c r="BL167" s="1135"/>
      <c r="BM167" s="1135"/>
      <c r="BN167" s="1135" t="str">
        <f t="shared" si="50"/>
        <v/>
      </c>
      <c r="BO167" s="1135"/>
      <c r="BP167" s="1135"/>
      <c r="BQ167" s="1135"/>
      <c r="BR167" s="1135"/>
      <c r="BS167" s="1135"/>
      <c r="BT167" s="1135"/>
      <c r="BU167" s="1135"/>
      <c r="BV167" s="1135"/>
      <c r="BW167" s="1135"/>
      <c r="BX167" s="1135"/>
      <c r="CC167" s="1091"/>
    </row>
    <row r="168" spans="17:81" s="1086" customFormat="1">
      <c r="Q168" s="1113">
        <f t="shared" si="59"/>
        <v>19</v>
      </c>
      <c r="R168" s="1135" t="str">
        <f t="shared" si="39"/>
        <v/>
      </c>
      <c r="S168" s="1135"/>
      <c r="T168" s="1135"/>
      <c r="U168" s="1135"/>
      <c r="V168" s="1135"/>
      <c r="W168" s="1135"/>
      <c r="X168" s="1135"/>
      <c r="Y168" s="1135"/>
      <c r="Z168" s="1135"/>
      <c r="AA168" s="1135"/>
      <c r="AB168" s="1135"/>
      <c r="AC168" s="1135"/>
      <c r="AD168" s="1135" t="str">
        <f t="shared" si="42"/>
        <v/>
      </c>
      <c r="AE168" s="1135"/>
      <c r="AF168" s="1135"/>
      <c r="AG168" s="1135"/>
      <c r="AH168" s="1135"/>
      <c r="AI168" s="1135"/>
      <c r="AJ168" s="1135"/>
      <c r="AK168" s="1135"/>
      <c r="AL168" s="1135"/>
      <c r="AM168" s="1135"/>
      <c r="AN168" s="1135"/>
      <c r="AO168" s="1135"/>
      <c r="AP168" s="1135" t="str">
        <f t="shared" si="45"/>
        <v/>
      </c>
      <c r="AQ168" s="1135"/>
      <c r="AR168" s="1135"/>
      <c r="AS168" s="1135"/>
      <c r="AT168" s="1135"/>
      <c r="AU168" s="1135"/>
      <c r="AV168" s="1135"/>
      <c r="AW168" s="1135"/>
      <c r="AX168" s="1135"/>
      <c r="AY168" s="1135"/>
      <c r="AZ168" s="1135"/>
      <c r="BA168" s="1135"/>
      <c r="BB168" s="1135" t="str">
        <f t="shared" si="48"/>
        <v/>
      </c>
      <c r="BC168" s="1135"/>
      <c r="BD168" s="1135"/>
      <c r="BE168" s="1135"/>
      <c r="BF168" s="1135"/>
      <c r="BG168" s="1135"/>
      <c r="BH168" s="1135"/>
      <c r="BI168" s="1135"/>
      <c r="BJ168" s="1135"/>
      <c r="BK168" s="1135"/>
      <c r="BL168" s="1135"/>
      <c r="BM168" s="1135"/>
      <c r="BN168" s="1135" t="str">
        <f t="shared" si="50"/>
        <v/>
      </c>
      <c r="BO168" s="1135"/>
      <c r="BP168" s="1135"/>
      <c r="BQ168" s="1135"/>
      <c r="BR168" s="1135"/>
      <c r="BS168" s="1135"/>
      <c r="BT168" s="1135"/>
      <c r="BU168" s="1135"/>
      <c r="BV168" s="1135"/>
      <c r="BW168" s="1135"/>
      <c r="BX168" s="1135"/>
      <c r="CC168" s="1091"/>
    </row>
    <row r="169" spans="17:81" s="1086" customFormat="1">
      <c r="Q169" s="1113">
        <f t="shared" si="59"/>
        <v>20</v>
      </c>
      <c r="R169" s="1135"/>
      <c r="S169" s="1135"/>
      <c r="T169" s="1135"/>
      <c r="U169" s="1135"/>
      <c r="V169" s="1135"/>
      <c r="W169" s="1135"/>
      <c r="X169" s="1135"/>
      <c r="Y169" s="1135"/>
      <c r="Z169" s="1135"/>
      <c r="AA169" s="1135"/>
      <c r="AB169" s="1135"/>
      <c r="AC169" s="1135"/>
      <c r="AD169" s="1135"/>
      <c r="AE169" s="1135"/>
      <c r="AF169" s="1135"/>
      <c r="AG169" s="1135"/>
      <c r="AH169" s="1135"/>
      <c r="AI169" s="1135"/>
      <c r="AJ169" s="1135"/>
      <c r="AK169" s="1135"/>
      <c r="AL169" s="1135"/>
      <c r="AM169" s="1135"/>
      <c r="AN169" s="1135"/>
      <c r="AO169" s="1135"/>
      <c r="AP169" s="1135"/>
      <c r="AQ169" s="1135"/>
      <c r="AR169" s="1135"/>
      <c r="AS169" s="1135"/>
      <c r="AT169" s="1135"/>
      <c r="AU169" s="1135"/>
      <c r="AV169" s="1135"/>
      <c r="AW169" s="1135"/>
      <c r="AX169" s="1135"/>
      <c r="AY169" s="1135"/>
      <c r="AZ169" s="1135"/>
      <c r="BA169" s="1135"/>
      <c r="BB169" s="1135" t="str">
        <f t="shared" si="48"/>
        <v/>
      </c>
      <c r="BC169" s="1135"/>
      <c r="BD169" s="1135"/>
      <c r="BE169" s="1135"/>
      <c r="BF169" s="1135"/>
      <c r="BG169" s="1135"/>
      <c r="BH169" s="1135"/>
      <c r="BI169" s="1135"/>
      <c r="BJ169" s="1135"/>
      <c r="BK169" s="1135"/>
      <c r="BL169" s="1135"/>
      <c r="BM169" s="1135"/>
      <c r="BN169" s="1135"/>
      <c r="BO169" s="1135"/>
      <c r="BP169" s="1135"/>
      <c r="BQ169" s="1135"/>
      <c r="BR169" s="1135"/>
      <c r="BS169" s="1135"/>
      <c r="BT169" s="1135"/>
      <c r="BU169" s="1135"/>
      <c r="BV169" s="1135"/>
      <c r="BW169" s="1135"/>
      <c r="BX169" s="1135"/>
      <c r="CC169" s="1091"/>
    </row>
    <row r="170" spans="17:81" s="1086" customFormat="1">
      <c r="Q170" s="1113">
        <f t="shared" si="59"/>
        <v>21</v>
      </c>
      <c r="R170" s="1135"/>
      <c r="S170" s="1135"/>
      <c r="T170" s="1135"/>
      <c r="U170" s="1135"/>
      <c r="V170" s="1135"/>
      <c r="W170" s="1135"/>
      <c r="X170" s="1135"/>
      <c r="Y170" s="1135"/>
      <c r="Z170" s="1135"/>
      <c r="AA170" s="1135"/>
      <c r="AB170" s="1135"/>
      <c r="AC170" s="1135"/>
      <c r="AD170" s="1135"/>
      <c r="AE170" s="1135"/>
      <c r="AF170" s="1135"/>
      <c r="AG170" s="1135"/>
      <c r="AH170" s="1135"/>
      <c r="AI170" s="1135"/>
      <c r="AJ170" s="1135"/>
      <c r="AK170" s="1135"/>
      <c r="AL170" s="1135"/>
      <c r="AM170" s="1135"/>
      <c r="AN170" s="1135"/>
      <c r="AO170" s="1135"/>
      <c r="AP170" s="1135"/>
      <c r="AQ170" s="1135"/>
      <c r="AR170" s="1135"/>
      <c r="AS170" s="1135"/>
      <c r="AT170" s="1135"/>
      <c r="AU170" s="1135"/>
      <c r="AV170" s="1135"/>
      <c r="AW170" s="1135"/>
      <c r="AX170" s="1135"/>
      <c r="AY170" s="1135"/>
      <c r="AZ170" s="1135"/>
      <c r="BA170" s="1135"/>
      <c r="BB170" s="1135" t="str">
        <f t="shared" si="48"/>
        <v/>
      </c>
      <c r="BC170" s="1135"/>
      <c r="BD170" s="1135"/>
      <c r="BE170" s="1135"/>
      <c r="BF170" s="1135"/>
      <c r="BG170" s="1135"/>
      <c r="BH170" s="1135"/>
      <c r="BI170" s="1135"/>
      <c r="BJ170" s="1135"/>
      <c r="BK170" s="1135"/>
      <c r="BL170" s="1135"/>
      <c r="BM170" s="1135"/>
      <c r="BN170" s="1135"/>
      <c r="BO170" s="1135"/>
      <c r="BP170" s="1135"/>
      <c r="BQ170" s="1135"/>
      <c r="BR170" s="1135"/>
      <c r="BS170" s="1135"/>
      <c r="BT170" s="1135"/>
      <c r="BU170" s="1135"/>
      <c r="BV170" s="1135"/>
      <c r="BW170" s="1135"/>
      <c r="BX170" s="1135"/>
      <c r="CC170" s="1091"/>
    </row>
    <row r="171" spans="17:81" s="1086" customFormat="1">
      <c r="Q171" s="1113">
        <f t="shared" si="59"/>
        <v>22</v>
      </c>
      <c r="BB171" s="1135" t="str">
        <f t="shared" si="48"/>
        <v/>
      </c>
      <c r="BC171" s="1135"/>
      <c r="BD171" s="1135"/>
      <c r="BE171" s="1135"/>
      <c r="BF171" s="1135"/>
      <c r="BG171" s="1135"/>
      <c r="BH171" s="1135"/>
      <c r="BI171" s="1135"/>
      <c r="CC171" s="1091"/>
    </row>
    <row r="172" spans="17:81" s="1086" customFormat="1">
      <c r="Q172" s="1113">
        <f t="shared" si="59"/>
        <v>23</v>
      </c>
      <c r="BB172" s="1135" t="str">
        <f t="shared" si="48"/>
        <v/>
      </c>
      <c r="BC172" s="1135"/>
      <c r="BD172" s="1135"/>
      <c r="BE172" s="1135"/>
      <c r="BF172" s="1135"/>
      <c r="BG172" s="1135"/>
      <c r="BH172" s="1135"/>
      <c r="BI172" s="1135"/>
      <c r="CC172" s="1091"/>
    </row>
    <row r="173" spans="17:81" s="1086" customFormat="1">
      <c r="Q173" s="1113">
        <f t="shared" si="59"/>
        <v>24</v>
      </c>
      <c r="BB173" s="1135" t="str">
        <f t="shared" si="48"/>
        <v/>
      </c>
      <c r="BC173" s="1135"/>
      <c r="BD173" s="1135"/>
      <c r="BE173" s="1135"/>
      <c r="BF173" s="1135"/>
      <c r="BG173" s="1135"/>
      <c r="BH173" s="1135"/>
      <c r="BI173" s="1135"/>
      <c r="CC173" s="1091"/>
    </row>
    <row r="174" spans="17:81" s="1086" customFormat="1">
      <c r="Q174" s="1113">
        <f t="shared" si="59"/>
        <v>25</v>
      </c>
      <c r="CC174" s="1091"/>
    </row>
    <row r="175" spans="17:81" s="1086" customFormat="1">
      <c r="Q175" s="1113">
        <f t="shared" si="59"/>
        <v>26</v>
      </c>
      <c r="CC175" s="1091"/>
    </row>
    <row r="176" spans="17:81" s="1086" customFormat="1">
      <c r="Q176" s="1113">
        <f t="shared" si="59"/>
        <v>27</v>
      </c>
      <c r="CC176" s="1091"/>
    </row>
    <row r="177" spans="17:81" s="1086" customFormat="1">
      <c r="Q177" s="1089"/>
      <c r="CC177" s="1091"/>
    </row>
    <row r="178" spans="17:81" s="1086" customFormat="1">
      <c r="Q178" s="1089"/>
      <c r="CC178" s="1091"/>
    </row>
    <row r="179" spans="17:81" s="1086" customFormat="1">
      <c r="Q179" s="1114"/>
      <c r="R179" s="1092"/>
      <c r="S179" s="1092"/>
      <c r="T179" s="1092"/>
      <c r="U179" s="1092"/>
      <c r="V179" s="1092"/>
      <c r="W179" s="1092"/>
      <c r="X179" s="1092"/>
      <c r="Y179" s="1092"/>
      <c r="Z179" s="1092"/>
      <c r="AA179" s="1092"/>
      <c r="AB179" s="1092"/>
      <c r="AC179" s="1092"/>
      <c r="AD179" s="1092"/>
      <c r="AE179" s="1092"/>
      <c r="AF179" s="1092"/>
      <c r="AG179" s="1092"/>
      <c r="AH179" s="1092"/>
      <c r="AI179" s="1092"/>
      <c r="AJ179" s="1092"/>
      <c r="AK179" s="1092"/>
      <c r="AL179" s="1092"/>
      <c r="AM179" s="1092"/>
      <c r="AN179" s="1092"/>
      <c r="AO179" s="1092"/>
      <c r="AP179" s="1092"/>
      <c r="AQ179" s="1092"/>
      <c r="AR179" s="1092"/>
      <c r="AS179" s="1092"/>
      <c r="AT179" s="1092"/>
      <c r="AU179" s="1092"/>
      <c r="AV179" s="1092"/>
      <c r="AW179" s="1092"/>
      <c r="AX179" s="1092"/>
      <c r="AY179" s="1092"/>
      <c r="AZ179" s="1092"/>
      <c r="BA179" s="1092"/>
      <c r="BB179" s="1092"/>
      <c r="BC179" s="1092"/>
      <c r="BD179" s="1092"/>
      <c r="BE179" s="1092"/>
      <c r="BF179" s="1092"/>
      <c r="BG179" s="1092"/>
      <c r="BH179" s="1092"/>
      <c r="BI179" s="1092"/>
      <c r="BJ179" s="1092"/>
      <c r="BK179" s="1092"/>
      <c r="BL179" s="1092"/>
      <c r="BM179" s="1092"/>
      <c r="BN179" s="1092"/>
      <c r="BO179" s="1092"/>
      <c r="BP179" s="1092"/>
      <c r="BQ179" s="1092"/>
      <c r="BR179" s="1092"/>
      <c r="BS179" s="1092"/>
      <c r="BT179" s="1092"/>
      <c r="BU179" s="1092"/>
      <c r="BV179" s="1092"/>
      <c r="BW179" s="1092"/>
      <c r="BX179" s="1092"/>
      <c r="BY179" s="1092"/>
      <c r="BZ179" s="1092"/>
      <c r="CA179" s="1092"/>
      <c r="CB179" s="1092"/>
      <c r="CC179" s="1093"/>
    </row>
  </sheetData>
  <mergeCells count="7">
    <mergeCell ref="O45:P45"/>
    <mergeCell ref="C45:D45"/>
    <mergeCell ref="E45:F45"/>
    <mergeCell ref="G45:H45"/>
    <mergeCell ref="I45:J45"/>
    <mergeCell ref="K45:L45"/>
    <mergeCell ref="M45:N45"/>
  </mergeCells>
  <hyperlinks>
    <hyperlink ref="N1" location="Content!A1" display="ToC" xr:uid="{E87CDFAA-3A14-4D67-B531-E50AE0069F4E}"/>
  </hyperlinks>
  <pageMargins left="0.7" right="0.7" top="0.75" bottom="0.75" header="0.3" footer="0.3"/>
  <pageSetup paperSize="9" orientation="portrait" r:id="rId1"/>
  <ignoredErrors>
    <ignoredError sqref="AW110 AW101 BI110 BJ107 BJ122 BU101:BU11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7635F-2779-40DA-B264-BB30A504DBA1}">
  <dimension ref="A1:AC124"/>
  <sheetViews>
    <sheetView zoomScale="80" zoomScaleNormal="80" workbookViewId="0">
      <selection activeCell="F83" sqref="F83"/>
    </sheetView>
  </sheetViews>
  <sheetFormatPr defaultRowHeight="15"/>
  <cols>
    <col min="1" max="1" width="12.7109375" customWidth="1"/>
    <col min="2" max="2" width="10.7109375" customWidth="1"/>
    <col min="3" max="3" width="7.5703125" customWidth="1"/>
    <col min="4" max="4" width="10.7109375" customWidth="1"/>
    <col min="5" max="5" width="7.5703125" customWidth="1"/>
    <col min="6" max="6" width="10.7109375" customWidth="1"/>
    <col min="7" max="7" width="7.5703125" customWidth="1"/>
    <col min="8" max="8" width="10.7109375" customWidth="1"/>
    <col min="9" max="9" width="7.5703125" customWidth="1"/>
    <col min="10" max="10" width="10.7109375" customWidth="1"/>
    <col min="11" max="11" width="7.5703125" customWidth="1"/>
    <col min="12" max="12" width="10.7109375" customWidth="1"/>
    <col min="13" max="13" width="7.5703125" customWidth="1"/>
    <col min="14" max="14" width="10.7109375" customWidth="1"/>
    <col min="15" max="15" width="7.5703125" customWidth="1"/>
    <col min="16" max="16" width="10.7109375" customWidth="1"/>
    <col min="17" max="17" width="7.5703125" customWidth="1"/>
    <col min="18" max="18" width="10.7109375" customWidth="1"/>
    <col min="19" max="19" width="7.5703125" customWidth="1"/>
    <col min="20" max="20" width="10.7109375" customWidth="1"/>
    <col min="21" max="21" width="7.5703125" customWidth="1"/>
    <col min="22" max="22" width="10.7109375" customWidth="1"/>
    <col min="23" max="23" width="7.5703125" customWidth="1"/>
    <col min="24" max="24" width="10.7109375" customWidth="1"/>
    <col min="25" max="25" width="7.5703125" customWidth="1"/>
    <col min="26" max="26" width="10.7109375" customWidth="1"/>
    <col min="27" max="27" width="7.5703125" customWidth="1"/>
    <col min="28" max="28" width="10.140625" customWidth="1"/>
  </cols>
  <sheetData>
    <row r="1" spans="1:29" ht="21">
      <c r="A1" s="496" t="s">
        <v>32</v>
      </c>
      <c r="AC1" s="888" t="s">
        <v>458</v>
      </c>
    </row>
    <row r="2" spans="1:29" ht="18.75">
      <c r="A2" s="495" t="s">
        <v>123</v>
      </c>
    </row>
    <row r="3" spans="1:29" ht="18.75">
      <c r="A3" s="495" t="s">
        <v>464</v>
      </c>
    </row>
    <row r="6" spans="1:29">
      <c r="A6" s="497" t="s">
        <v>124</v>
      </c>
      <c r="B6" s="1306">
        <v>2008</v>
      </c>
      <c r="C6" s="1307"/>
      <c r="D6" s="1306">
        <v>2009</v>
      </c>
      <c r="E6" s="1307"/>
      <c r="F6" s="1306">
        <v>2010</v>
      </c>
      <c r="G6" s="1307"/>
      <c r="H6" s="1306">
        <v>2011</v>
      </c>
      <c r="I6" s="1307"/>
      <c r="J6" s="1306">
        <v>2012</v>
      </c>
      <c r="K6" s="1307"/>
      <c r="L6" s="1306">
        <v>2013</v>
      </c>
      <c r="M6" s="1307"/>
      <c r="N6" s="1306">
        <v>2014</v>
      </c>
      <c r="O6" s="1307"/>
      <c r="P6" s="1306">
        <v>2015</v>
      </c>
      <c r="Q6" s="1307"/>
      <c r="R6" s="1306">
        <v>2016</v>
      </c>
      <c r="S6" s="1307"/>
      <c r="T6" s="1306">
        <v>2017</v>
      </c>
      <c r="U6" s="1307"/>
      <c r="V6" s="1306">
        <v>2018</v>
      </c>
      <c r="W6" s="1307"/>
      <c r="X6" s="1306">
        <v>2019</v>
      </c>
      <c r="Y6" s="1307"/>
      <c r="Z6" s="1304">
        <v>2020</v>
      </c>
      <c r="AA6" s="1304"/>
      <c r="AB6" s="1308">
        <v>2021</v>
      </c>
      <c r="AC6" s="1309"/>
    </row>
    <row r="7" spans="1:29">
      <c r="A7" s="501"/>
      <c r="B7" s="507" t="s">
        <v>125</v>
      </c>
      <c r="C7" s="509" t="s">
        <v>126</v>
      </c>
      <c r="D7" s="507" t="s">
        <v>125</v>
      </c>
      <c r="E7" s="509" t="s">
        <v>126</v>
      </c>
      <c r="F7" s="507" t="s">
        <v>125</v>
      </c>
      <c r="G7" s="509" t="s">
        <v>126</v>
      </c>
      <c r="H7" s="507" t="s">
        <v>125</v>
      </c>
      <c r="I7" s="509" t="s">
        <v>126</v>
      </c>
      <c r="J7" s="507" t="s">
        <v>125</v>
      </c>
      <c r="K7" s="509" t="s">
        <v>126</v>
      </c>
      <c r="L7" s="507" t="s">
        <v>125</v>
      </c>
      <c r="M7" s="509" t="s">
        <v>126</v>
      </c>
      <c r="N7" s="507" t="s">
        <v>125</v>
      </c>
      <c r="O7" s="509" t="s">
        <v>126</v>
      </c>
      <c r="P7" s="507" t="s">
        <v>125</v>
      </c>
      <c r="Q7" s="509" t="s">
        <v>126</v>
      </c>
      <c r="R7" s="507" t="s">
        <v>125</v>
      </c>
      <c r="S7" s="509" t="s">
        <v>126</v>
      </c>
      <c r="T7" s="507" t="s">
        <v>125</v>
      </c>
      <c r="U7" s="509" t="s">
        <v>126</v>
      </c>
      <c r="V7" s="507" t="s">
        <v>125</v>
      </c>
      <c r="W7" s="509" t="s">
        <v>126</v>
      </c>
      <c r="X7" s="507" t="s">
        <v>125</v>
      </c>
      <c r="Y7" s="509" t="s">
        <v>126</v>
      </c>
      <c r="Z7" s="507" t="s">
        <v>125</v>
      </c>
      <c r="AA7" s="502" t="s">
        <v>126</v>
      </c>
      <c r="AB7" s="1197" t="s">
        <v>125</v>
      </c>
      <c r="AC7" s="1198" t="s">
        <v>126</v>
      </c>
    </row>
    <row r="8" spans="1:29">
      <c r="A8" s="498" t="s">
        <v>127</v>
      </c>
      <c r="B8" s="511">
        <v>2365000</v>
      </c>
      <c r="C8" s="506">
        <v>0.34974859509021</v>
      </c>
      <c r="D8" s="511">
        <v>1790613</v>
      </c>
      <c r="E8" s="506">
        <v>0.25855633161680863</v>
      </c>
      <c r="F8" s="511">
        <v>1930762</v>
      </c>
      <c r="G8" s="506">
        <v>0.26089051517026862</v>
      </c>
      <c r="H8" s="511">
        <v>2005741</v>
      </c>
      <c r="I8" s="506">
        <v>0.2542513372102162</v>
      </c>
      <c r="J8" s="511">
        <v>2135765</v>
      </c>
      <c r="K8" s="506">
        <v>0.25002847664745159</v>
      </c>
      <c r="L8" s="511">
        <v>2368820</v>
      </c>
      <c r="M8" s="506">
        <v>0.25069419735884335</v>
      </c>
      <c r="N8" s="511">
        <v>2484819</v>
      </c>
      <c r="O8" s="506">
        <v>0.24766497707312429</v>
      </c>
      <c r="P8" s="511">
        <v>2493883</v>
      </c>
      <c r="Q8" s="506">
        <v>0.2369074246033348</v>
      </c>
      <c r="R8" s="511">
        <v>3185424</v>
      </c>
      <c r="S8" s="506">
        <v>0.27063605620970149</v>
      </c>
      <c r="T8" s="511">
        <v>4361241</v>
      </c>
      <c r="U8" s="506">
        <v>0.31983383053586478</v>
      </c>
      <c r="V8" s="511">
        <v>4093382</v>
      </c>
      <c r="W8" s="506">
        <v>0.29494692747735179</v>
      </c>
      <c r="X8" s="511">
        <v>4641346</v>
      </c>
      <c r="Y8" s="506">
        <v>0.31180039920374225</v>
      </c>
      <c r="Z8" s="511">
        <v>4852303</v>
      </c>
      <c r="AA8" s="950">
        <v>0.30630323477554305</v>
      </c>
      <c r="AB8" s="1199">
        <v>4904251</v>
      </c>
      <c r="AC8" s="1200">
        <v>0.3</v>
      </c>
    </row>
    <row r="9" spans="1:29">
      <c r="A9" s="498" t="s">
        <v>56</v>
      </c>
      <c r="B9" s="511">
        <v>1270000</v>
      </c>
      <c r="C9" s="506">
        <v>0.18781425613723751</v>
      </c>
      <c r="D9" s="511">
        <v>1347998</v>
      </c>
      <c r="E9" s="506">
        <v>0.19464474898082096</v>
      </c>
      <c r="F9" s="511">
        <v>1423432</v>
      </c>
      <c r="G9" s="506">
        <v>0.19233852115892366</v>
      </c>
      <c r="H9" s="511">
        <v>1542096</v>
      </c>
      <c r="I9" s="506">
        <v>0.19547886297708705</v>
      </c>
      <c r="J9" s="511">
        <v>1694435</v>
      </c>
      <c r="K9" s="506">
        <v>0.19836311664819148</v>
      </c>
      <c r="L9" s="511">
        <v>1838177</v>
      </c>
      <c r="M9" s="506">
        <v>0.19453580585206415</v>
      </c>
      <c r="N9" s="511">
        <v>1920490</v>
      </c>
      <c r="O9" s="506">
        <v>0.19141760901665855</v>
      </c>
      <c r="P9" s="511">
        <v>1946568</v>
      </c>
      <c r="Q9" s="506">
        <v>0.18491501473616215</v>
      </c>
      <c r="R9" s="511">
        <v>1980985</v>
      </c>
      <c r="S9" s="506">
        <v>0.16830599876518026</v>
      </c>
      <c r="T9" s="511">
        <v>2013666</v>
      </c>
      <c r="U9" s="506">
        <v>0.14767322195673954</v>
      </c>
      <c r="V9" s="511">
        <v>2054308</v>
      </c>
      <c r="W9" s="506">
        <v>0.14802230348698059</v>
      </c>
      <c r="X9" s="511">
        <v>2053879</v>
      </c>
      <c r="Y9" s="506">
        <v>0.13797727902987256</v>
      </c>
      <c r="Z9" s="511">
        <v>2039040</v>
      </c>
      <c r="AA9" s="950">
        <v>0.12871507567370036</v>
      </c>
      <c r="AB9" s="1199">
        <v>2020424</v>
      </c>
      <c r="AC9" s="1200">
        <v>0.12</v>
      </c>
    </row>
    <row r="10" spans="1:29">
      <c r="A10" s="498" t="s">
        <v>57</v>
      </c>
      <c r="B10" s="511">
        <v>624000</v>
      </c>
      <c r="C10" s="506">
        <v>9.2280390417036381E-2</v>
      </c>
      <c r="D10" s="511">
        <v>640412</v>
      </c>
      <c r="E10" s="506">
        <v>9.2472565229551912E-2</v>
      </c>
      <c r="F10" s="511">
        <v>640412</v>
      </c>
      <c r="G10" s="506">
        <v>8.6534444225244769E-2</v>
      </c>
      <c r="H10" s="511">
        <v>678005</v>
      </c>
      <c r="I10" s="506">
        <v>8.5945133437075188E-2</v>
      </c>
      <c r="J10" s="511">
        <v>738312</v>
      </c>
      <c r="K10" s="506">
        <v>8.6432273518169511E-2</v>
      </c>
      <c r="L10" s="511">
        <v>812595</v>
      </c>
      <c r="M10" s="506">
        <v>8.5997606953170491E-2</v>
      </c>
      <c r="N10" s="511">
        <v>885904</v>
      </c>
      <c r="O10" s="506">
        <v>8.8299145269329124E-2</v>
      </c>
      <c r="P10" s="511">
        <v>912442</v>
      </c>
      <c r="Q10" s="506">
        <v>8.667779696157199E-2</v>
      </c>
      <c r="R10" s="511">
        <v>950526</v>
      </c>
      <c r="S10" s="506">
        <v>8.0757415014385131E-2</v>
      </c>
      <c r="T10" s="511">
        <v>970889</v>
      </c>
      <c r="U10" s="506">
        <v>7.1200639426973925E-2</v>
      </c>
      <c r="V10" s="511">
        <v>1001163</v>
      </c>
      <c r="W10" s="506">
        <v>7.2138381112246047E-2</v>
      </c>
      <c r="X10" s="511">
        <v>1048079</v>
      </c>
      <c r="Y10" s="506">
        <v>7.0408767326775243E-2</v>
      </c>
      <c r="Z10" s="511">
        <v>1096721</v>
      </c>
      <c r="AA10" s="950">
        <v>6.9230876543832559E-2</v>
      </c>
      <c r="AB10" s="1199">
        <v>1153320</v>
      </c>
      <c r="AC10" s="1200">
        <v>7.0000000000000007E-2</v>
      </c>
    </row>
    <row r="11" spans="1:29">
      <c r="A11" s="498" t="s">
        <v>58</v>
      </c>
      <c r="B11" s="513"/>
      <c r="C11" s="506">
        <v>0</v>
      </c>
      <c r="D11" s="513"/>
      <c r="E11" s="506">
        <v>0</v>
      </c>
      <c r="F11" s="511">
        <v>564760</v>
      </c>
      <c r="G11" s="506">
        <v>7.6312112703461582E-2</v>
      </c>
      <c r="H11" s="511">
        <v>696939</v>
      </c>
      <c r="I11" s="506">
        <v>8.834524133671838E-2</v>
      </c>
      <c r="J11" s="511">
        <v>875385</v>
      </c>
      <c r="K11" s="506">
        <v>0.10247905459169404</v>
      </c>
      <c r="L11" s="511">
        <v>1033908</v>
      </c>
      <c r="M11" s="506">
        <v>0.10941934642686528</v>
      </c>
      <c r="N11" s="511">
        <v>1196497</v>
      </c>
      <c r="O11" s="506">
        <v>0.11925633298564685</v>
      </c>
      <c r="P11" s="511">
        <v>1472374</v>
      </c>
      <c r="Q11" s="506">
        <v>0.13986876384854882</v>
      </c>
      <c r="R11" s="511">
        <v>1772203</v>
      </c>
      <c r="S11" s="506">
        <v>0.15056772056812584</v>
      </c>
      <c r="T11" s="511">
        <v>2085367</v>
      </c>
      <c r="U11" s="506">
        <v>0.15293145131926547</v>
      </c>
      <c r="V11" s="511">
        <v>2366314</v>
      </c>
      <c r="W11" s="506">
        <v>0.17050376528421785</v>
      </c>
      <c r="X11" s="511">
        <v>2670784</v>
      </c>
      <c r="Y11" s="506">
        <v>0.17942026243830292</v>
      </c>
      <c r="Z11" s="511">
        <v>3057844</v>
      </c>
      <c r="AA11" s="950">
        <v>0.19302741577329066</v>
      </c>
      <c r="AB11" s="1199">
        <v>3596901</v>
      </c>
      <c r="AC11" s="1200">
        <v>0.22</v>
      </c>
    </row>
    <row r="12" spans="1:29">
      <c r="A12" s="498" t="s">
        <v>59</v>
      </c>
      <c r="B12" s="511">
        <v>1873000</v>
      </c>
      <c r="C12" s="506">
        <v>0.2769890564921621</v>
      </c>
      <c r="D12" s="511">
        <v>2017318</v>
      </c>
      <c r="E12" s="506">
        <v>0.29129149726074655</v>
      </c>
      <c r="F12" s="511">
        <v>2017318</v>
      </c>
      <c r="G12" s="506">
        <v>0.27258622879581013</v>
      </c>
      <c r="H12" s="511">
        <v>2113628</v>
      </c>
      <c r="I12" s="506">
        <v>0.26792728740398425</v>
      </c>
      <c r="J12" s="511">
        <v>2239231</v>
      </c>
      <c r="K12" s="506">
        <v>0.26214097327737357</v>
      </c>
      <c r="L12" s="511">
        <v>2387502</v>
      </c>
      <c r="M12" s="506">
        <v>0.25267132900880324</v>
      </c>
      <c r="N12" s="511">
        <v>2527750</v>
      </c>
      <c r="O12" s="506">
        <v>0.25194396283857695</v>
      </c>
      <c r="P12" s="511">
        <v>2644697</v>
      </c>
      <c r="Q12" s="506">
        <v>0.2512340615522724</v>
      </c>
      <c r="R12" s="511">
        <v>2763055</v>
      </c>
      <c r="S12" s="506">
        <v>0.23475126334531818</v>
      </c>
      <c r="T12" s="511">
        <v>2984825</v>
      </c>
      <c r="U12" s="506">
        <v>0.21889366197126289</v>
      </c>
      <c r="V12" s="511">
        <v>3063494</v>
      </c>
      <c r="W12" s="506">
        <v>0.22073877850767468</v>
      </c>
      <c r="X12" s="511">
        <v>3131427</v>
      </c>
      <c r="Y12" s="506">
        <v>0.21036574060140678</v>
      </c>
      <c r="Z12" s="511">
        <v>3348531</v>
      </c>
      <c r="AA12" s="950">
        <v>0.21137712897281641</v>
      </c>
      <c r="AB12" s="1199">
        <v>3327540</v>
      </c>
      <c r="AC12" s="1200">
        <v>0.2</v>
      </c>
    </row>
    <row r="13" spans="1:29">
      <c r="A13" s="501" t="s">
        <v>51</v>
      </c>
      <c r="B13" s="512">
        <v>630000</v>
      </c>
      <c r="C13" s="508">
        <v>9.3167701863354033E-2</v>
      </c>
      <c r="D13" s="512">
        <v>1129086</v>
      </c>
      <c r="E13" s="508">
        <v>0.16303485691207198</v>
      </c>
      <c r="F13" s="512">
        <v>823976</v>
      </c>
      <c r="G13" s="508">
        <v>0.11133817794629128</v>
      </c>
      <c r="H13" s="512">
        <v>852403</v>
      </c>
      <c r="I13" s="508">
        <v>0.10805213763491892</v>
      </c>
      <c r="J13" s="512">
        <v>858959</v>
      </c>
      <c r="K13" s="508">
        <v>0.10055610531711981</v>
      </c>
      <c r="L13" s="512">
        <v>1008040</v>
      </c>
      <c r="M13" s="508">
        <v>0.10668171440025348</v>
      </c>
      <c r="N13" s="512">
        <v>1017525</v>
      </c>
      <c r="O13" s="508">
        <v>0.10141797281666423</v>
      </c>
      <c r="P13" s="512">
        <v>1056861</v>
      </c>
      <c r="Q13" s="508">
        <v>0.10039693829810983</v>
      </c>
      <c r="R13" s="512">
        <v>1117946</v>
      </c>
      <c r="S13" s="508">
        <v>9.498154609728908E-2</v>
      </c>
      <c r="T13" s="512">
        <v>1219971</v>
      </c>
      <c r="U13" s="508">
        <v>8.9467194789893401E-2</v>
      </c>
      <c r="V13" s="512">
        <v>1299707</v>
      </c>
      <c r="W13" s="508">
        <v>9.3649844131529006E-2</v>
      </c>
      <c r="X13" s="512">
        <v>1340117</v>
      </c>
      <c r="Y13" s="508">
        <v>9.0027551399900249E-2</v>
      </c>
      <c r="Z13" s="512">
        <v>1447062</v>
      </c>
      <c r="AA13" s="951">
        <v>9.1346268260816946E-2</v>
      </c>
      <c r="AB13" s="1201">
        <v>1442111</v>
      </c>
      <c r="AC13" s="1202">
        <v>0.09</v>
      </c>
    </row>
    <row r="71" spans="1:7">
      <c r="A71" s="1274">
        <v>2021</v>
      </c>
      <c r="B71" s="1304" t="s">
        <v>463</v>
      </c>
      <c r="C71" s="1304"/>
      <c r="D71" s="1304"/>
      <c r="E71" s="1304"/>
      <c r="F71" s="1304"/>
      <c r="G71" s="1305"/>
    </row>
    <row r="72" spans="1:7">
      <c r="A72" s="1272" t="s">
        <v>53</v>
      </c>
      <c r="B72" s="1281" t="s">
        <v>127</v>
      </c>
      <c r="C72" s="1282" t="s">
        <v>56</v>
      </c>
      <c r="D72" s="1282" t="s">
        <v>57</v>
      </c>
      <c r="E72" s="1282" t="s">
        <v>58</v>
      </c>
      <c r="F72" s="1282" t="s">
        <v>59</v>
      </c>
      <c r="G72" s="1275" t="s">
        <v>51</v>
      </c>
    </row>
    <row r="73" spans="1:7">
      <c r="A73" s="1277" t="s">
        <v>127</v>
      </c>
      <c r="B73" s="1283">
        <v>0.61</v>
      </c>
      <c r="C73" s="1284">
        <v>6.7505787037037038E-2</v>
      </c>
      <c r="D73" s="1284">
        <v>6.3621659474013895E-2</v>
      </c>
      <c r="E73" s="1284">
        <v>0.06</v>
      </c>
      <c r="F73" s="1284">
        <v>0.15</v>
      </c>
      <c r="G73" s="1278">
        <v>0.32</v>
      </c>
    </row>
    <row r="74" spans="1:7">
      <c r="A74" s="1279" t="s">
        <v>56</v>
      </c>
      <c r="B74" s="1285">
        <v>0.08</v>
      </c>
      <c r="C74" s="1286">
        <v>0.81</v>
      </c>
      <c r="D74" s="1286">
        <v>0.10213171809420993</v>
      </c>
      <c r="E74" s="1286">
        <v>0.08</v>
      </c>
      <c r="F74" s="1286">
        <v>0.17166217660587241</v>
      </c>
      <c r="G74" s="1280">
        <v>9.6148273553514921E-2</v>
      </c>
    </row>
    <row r="75" spans="1:7">
      <c r="A75" s="1279" t="s">
        <v>57</v>
      </c>
      <c r="B75" s="1285">
        <v>0.03</v>
      </c>
      <c r="C75" s="1286">
        <v>1.9707313245448839E-2</v>
      </c>
      <c r="D75" s="1286">
        <v>0.77</v>
      </c>
      <c r="E75" s="1286">
        <v>2.1541975326406448E-2</v>
      </c>
      <c r="F75" s="1286">
        <v>5.7545646462736973E-2</v>
      </c>
      <c r="G75" s="1280">
        <v>1.9367119505869019E-2</v>
      </c>
    </row>
    <row r="76" spans="1:7">
      <c r="A76" s="1279" t="s">
        <v>58</v>
      </c>
      <c r="B76" s="1285">
        <v>0.03</v>
      </c>
      <c r="C76" s="1286">
        <v>1.0614308694287507E-2</v>
      </c>
      <c r="D76" s="1286">
        <v>1.0039928112984068E-2</v>
      </c>
      <c r="E76" s="1286">
        <v>0.77</v>
      </c>
      <c r="F76" s="1286">
        <v>0.04</v>
      </c>
      <c r="G76" s="1280">
        <v>0.03</v>
      </c>
    </row>
    <row r="77" spans="1:7">
      <c r="A77" s="1279" t="s">
        <v>59</v>
      </c>
      <c r="B77" s="1285">
        <v>0.20063196239244266</v>
      </c>
      <c r="C77" s="1286">
        <v>7.1394381669805398E-2</v>
      </c>
      <c r="D77" s="1286">
        <v>6.2007566190489652E-2</v>
      </c>
      <c r="E77" s="1286">
        <v>0.05</v>
      </c>
      <c r="F77" s="1286">
        <v>0.48373110762498034</v>
      </c>
      <c r="G77" s="1280">
        <v>0.35</v>
      </c>
    </row>
    <row r="78" spans="1:7">
      <c r="A78" s="1273" t="s">
        <v>51</v>
      </c>
      <c r="B78" s="1287">
        <v>0.05</v>
      </c>
      <c r="C78" s="1288">
        <v>1.3330292686754551E-2</v>
      </c>
      <c r="D78" s="1288">
        <v>1.1793336682711465E-2</v>
      </c>
      <c r="E78" s="1288">
        <v>1.0270308099432149E-2</v>
      </c>
      <c r="F78" s="1288">
        <v>9.978566567129768E-2</v>
      </c>
      <c r="G78" s="1276">
        <v>0.18</v>
      </c>
    </row>
    <row r="80" spans="1:7" s="1271" customFormat="1"/>
    <row r="81" spans="1:7" s="1271" customFormat="1"/>
    <row r="82" spans="1:7" s="1271" customFormat="1"/>
    <row r="83" spans="1:7" s="1271" customFormat="1"/>
    <row r="84" spans="1:7" s="1271" customFormat="1"/>
    <row r="85" spans="1:7" s="1271" customFormat="1"/>
    <row r="86" spans="1:7" s="1271" customFormat="1"/>
    <row r="87" spans="1:7" s="1271" customFormat="1"/>
    <row r="88" spans="1:7" s="1271" customFormat="1"/>
    <row r="89" spans="1:7" s="1271" customFormat="1"/>
    <row r="90" spans="1:7" s="1271" customFormat="1"/>
    <row r="91" spans="1:7" s="1271" customFormat="1"/>
    <row r="94" spans="1:7">
      <c r="A94" s="899">
        <v>2020</v>
      </c>
      <c r="B94" s="1304" t="s">
        <v>463</v>
      </c>
      <c r="C94" s="1304"/>
      <c r="D94" s="1304"/>
      <c r="E94" s="1304"/>
      <c r="F94" s="1304"/>
      <c r="G94" s="1305"/>
    </row>
    <row r="95" spans="1:7">
      <c r="A95" s="498" t="s">
        <v>53</v>
      </c>
      <c r="B95" s="906" t="s">
        <v>127</v>
      </c>
      <c r="C95" s="907" t="s">
        <v>56</v>
      </c>
      <c r="D95" s="907" t="s">
        <v>57</v>
      </c>
      <c r="E95" s="907" t="s">
        <v>58</v>
      </c>
      <c r="F95" s="907" t="s">
        <v>59</v>
      </c>
      <c r="G95" s="900" t="s">
        <v>51</v>
      </c>
    </row>
    <row r="96" spans="1:7">
      <c r="A96" s="902" t="s">
        <v>127</v>
      </c>
      <c r="B96" s="1283">
        <v>0.6158215119169731</v>
      </c>
      <c r="C96" s="1284">
        <v>6.7505787037037038E-2</v>
      </c>
      <c r="D96" s="1284">
        <v>6.3621659474013895E-2</v>
      </c>
      <c r="E96" s="1284">
        <v>6.8627765183573788E-2</v>
      </c>
      <c r="F96" s="1284">
        <v>0.15592053413655699</v>
      </c>
      <c r="G96" s="1278">
        <v>0.28886663630926296</v>
      </c>
    </row>
    <row r="97" spans="1:7">
      <c r="A97" s="904" t="s">
        <v>56</v>
      </c>
      <c r="B97" s="1285">
        <v>8.6166255324676491E-2</v>
      </c>
      <c r="C97" s="1286">
        <v>0.81744791666666672</v>
      </c>
      <c r="D97" s="1286">
        <v>0.10213171809420993</v>
      </c>
      <c r="E97" s="1286">
        <v>9.368496234601896E-2</v>
      </c>
      <c r="F97" s="1286">
        <v>0.17166217660587241</v>
      </c>
      <c r="G97" s="1280">
        <v>9.6148273553514921E-2</v>
      </c>
    </row>
    <row r="98" spans="1:7">
      <c r="A98" s="904" t="s">
        <v>57</v>
      </c>
      <c r="B98" s="1285">
        <v>2.7488712357728675E-2</v>
      </c>
      <c r="C98" s="1286">
        <v>1.9707313245448839E-2</v>
      </c>
      <c r="D98" s="1286">
        <v>0.76040579144559095</v>
      </c>
      <c r="E98" s="1286">
        <v>2.1541975326406448E-2</v>
      </c>
      <c r="F98" s="1286">
        <v>5.7545646462736973E-2</v>
      </c>
      <c r="G98" s="1280">
        <v>1.9367119505869019E-2</v>
      </c>
    </row>
    <row r="99" spans="1:7">
      <c r="A99" s="904" t="s">
        <v>58</v>
      </c>
      <c r="B99" s="1285">
        <v>2.6386263566447035E-2</v>
      </c>
      <c r="C99" s="1286">
        <v>1.0614308694287507E-2</v>
      </c>
      <c r="D99" s="1286">
        <v>1.0039928112984068E-2</v>
      </c>
      <c r="E99" s="1286">
        <v>0.74533658355364107</v>
      </c>
      <c r="F99" s="1286">
        <v>3.1354869498555628E-2</v>
      </c>
      <c r="G99" s="1280">
        <v>2.4244764418458253E-2</v>
      </c>
    </row>
    <row r="100" spans="1:7">
      <c r="A100" s="904" t="s">
        <v>59</v>
      </c>
      <c r="B100" s="1285">
        <v>0.20063196239244266</v>
      </c>
      <c r="C100" s="1286">
        <v>7.1394381669805398E-2</v>
      </c>
      <c r="D100" s="1286">
        <v>6.2007566190489652E-2</v>
      </c>
      <c r="E100" s="1286">
        <v>6.0538405490927594E-2</v>
      </c>
      <c r="F100" s="1286">
        <v>0.48373110762498034</v>
      </c>
      <c r="G100" s="1280">
        <v>0.29152528824069329</v>
      </c>
    </row>
    <row r="101" spans="1:7">
      <c r="A101" s="501" t="s">
        <v>51</v>
      </c>
      <c r="B101" s="1287">
        <v>4.3505294441732026E-2</v>
      </c>
      <c r="C101" s="1288">
        <v>1.3330292686754551E-2</v>
      </c>
      <c r="D101" s="1288">
        <v>1.1793336682711465E-2</v>
      </c>
      <c r="E101" s="1288">
        <v>1.0270308099432149E-2</v>
      </c>
      <c r="F101" s="1288">
        <v>9.978566567129768E-2</v>
      </c>
      <c r="G101" s="1276">
        <v>0.27984791797220154</v>
      </c>
    </row>
    <row r="102" spans="1:7">
      <c r="A102" s="914" t="s">
        <v>52</v>
      </c>
      <c r="B102" s="915">
        <v>4904251</v>
      </c>
      <c r="C102" s="915">
        <v>2020424</v>
      </c>
      <c r="D102" s="915">
        <v>1153320</v>
      </c>
      <c r="E102" s="915">
        <v>3596901</v>
      </c>
      <c r="F102" s="915">
        <v>3327540</v>
      </c>
      <c r="G102" s="915">
        <v>1442111</v>
      </c>
    </row>
    <row r="103" spans="1:7">
      <c r="B103" s="1131"/>
    </row>
    <row r="116" spans="1:7">
      <c r="A116" s="899">
        <v>2019</v>
      </c>
      <c r="B116" s="1304" t="s">
        <v>463</v>
      </c>
      <c r="C116" s="1304"/>
      <c r="D116" s="1304"/>
      <c r="E116" s="1304"/>
      <c r="F116" s="1304"/>
      <c r="G116" s="1305"/>
    </row>
    <row r="117" spans="1:7">
      <c r="A117" s="498" t="s">
        <v>53</v>
      </c>
      <c r="B117" s="906" t="s">
        <v>127</v>
      </c>
      <c r="C117" s="907" t="s">
        <v>56</v>
      </c>
      <c r="D117" s="907" t="s">
        <v>57</v>
      </c>
      <c r="E117" s="907" t="s">
        <v>58</v>
      </c>
      <c r="F117" s="907" t="s">
        <v>59</v>
      </c>
      <c r="G117" s="900" t="s">
        <v>51</v>
      </c>
    </row>
    <row r="118" spans="1:7">
      <c r="A118" s="902" t="s">
        <v>127</v>
      </c>
      <c r="B118" s="908">
        <v>0.62</v>
      </c>
      <c r="C118" s="909">
        <v>6.7628131939612798E-2</v>
      </c>
      <c r="D118" s="909">
        <v>5.4820295035011672E-2</v>
      </c>
      <c r="E118" s="909">
        <v>7.5433655436006802E-2</v>
      </c>
      <c r="F118" s="909">
        <v>0.15452028739612964</v>
      </c>
      <c r="G118" s="903">
        <v>0.24</v>
      </c>
    </row>
    <row r="119" spans="1:7">
      <c r="A119" s="904" t="s">
        <v>56</v>
      </c>
      <c r="B119" s="910">
        <v>0.08</v>
      </c>
      <c r="C119" s="911">
        <v>0.82064133281464002</v>
      </c>
      <c r="D119" s="911">
        <v>0.10694709082044387</v>
      </c>
      <c r="E119" s="911">
        <v>0.10361976108887877</v>
      </c>
      <c r="F119" s="911">
        <v>0.17448754194174093</v>
      </c>
      <c r="G119" s="905">
        <v>8.428175160455427E-2</v>
      </c>
    </row>
    <row r="120" spans="1:7">
      <c r="A120" s="904" t="s">
        <v>57</v>
      </c>
      <c r="B120" s="910">
        <v>0.02</v>
      </c>
      <c r="C120" s="911">
        <v>1.9074151885286328E-2</v>
      </c>
      <c r="D120" s="911">
        <v>0.7551320081787728</v>
      </c>
      <c r="E120" s="911">
        <v>2.2703071457669359E-2</v>
      </c>
      <c r="F120" s="911">
        <v>5.5722199495629308E-2</v>
      </c>
      <c r="G120" s="905">
        <v>0.01</v>
      </c>
    </row>
    <row r="121" spans="1:7">
      <c r="A121" s="904" t="s">
        <v>58</v>
      </c>
      <c r="B121" s="910">
        <v>0.02</v>
      </c>
      <c r="C121" s="911">
        <v>8.6509477919585326E-3</v>
      </c>
      <c r="D121" s="911">
        <v>8.8695604052747932E-3</v>
      </c>
      <c r="E121" s="911">
        <v>0.72118224461431546</v>
      </c>
      <c r="F121" s="911">
        <v>2.6927978841595222E-2</v>
      </c>
      <c r="G121" s="905">
        <v>2.033944205228197E-2</v>
      </c>
    </row>
    <row r="122" spans="1:7">
      <c r="A122" s="904" t="s">
        <v>59</v>
      </c>
      <c r="B122" s="910">
        <v>0.17</v>
      </c>
      <c r="C122" s="911">
        <v>7.1207700161499285E-2</v>
      </c>
      <c r="D122" s="911">
        <v>6.3075397942330677E-2</v>
      </c>
      <c r="E122" s="911">
        <v>6.6628750209676263E-2</v>
      </c>
      <c r="F122" s="911">
        <v>0.49051279177193019</v>
      </c>
      <c r="G122" s="905">
        <v>0.3</v>
      </c>
    </row>
    <row r="123" spans="1:7">
      <c r="A123" s="501" t="s">
        <v>51</v>
      </c>
      <c r="B123" s="912">
        <v>0.08</v>
      </c>
      <c r="C123" s="913">
        <v>1.2797735407003042E-2</v>
      </c>
      <c r="D123" s="913">
        <v>1.1155647618166188E-2</v>
      </c>
      <c r="E123" s="913">
        <v>1.0432517193453308E-2</v>
      </c>
      <c r="F123" s="913">
        <v>9.7829200552974727E-2</v>
      </c>
      <c r="G123" s="901">
        <v>0.35</v>
      </c>
    </row>
    <row r="124" spans="1:7">
      <c r="B124" s="916">
        <v>4631346</v>
      </c>
      <c r="C124" s="917">
        <v>2053879</v>
      </c>
      <c r="D124" s="917">
        <v>1048079</v>
      </c>
      <c r="E124" s="917">
        <v>2670784</v>
      </c>
      <c r="F124" s="917">
        <v>3131427</v>
      </c>
      <c r="G124" s="916">
        <v>1340117</v>
      </c>
    </row>
  </sheetData>
  <mergeCells count="17">
    <mergeCell ref="AB6:AC6"/>
    <mergeCell ref="Z6:AA6"/>
    <mergeCell ref="N6:O6"/>
    <mergeCell ref="P6:Q6"/>
    <mergeCell ref="R6:S6"/>
    <mergeCell ref="T6:U6"/>
    <mergeCell ref="V6:W6"/>
    <mergeCell ref="X6:Y6"/>
    <mergeCell ref="B94:G94"/>
    <mergeCell ref="B116:G116"/>
    <mergeCell ref="L6:M6"/>
    <mergeCell ref="B6:C6"/>
    <mergeCell ref="D6:E6"/>
    <mergeCell ref="F6:G6"/>
    <mergeCell ref="H6:I6"/>
    <mergeCell ref="J6:K6"/>
    <mergeCell ref="B71:G71"/>
  </mergeCells>
  <hyperlinks>
    <hyperlink ref="AC1" location="Content!A1" display="ToC" xr:uid="{BEADA5A1-2666-4404-97DB-FC871F46715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2FC85-EEDE-46E4-B75B-7122B4DD02E7}">
  <dimension ref="A1:P136"/>
  <sheetViews>
    <sheetView zoomScale="85" zoomScaleNormal="85" workbookViewId="0">
      <selection activeCell="O39" sqref="O39"/>
    </sheetView>
  </sheetViews>
  <sheetFormatPr defaultColWidth="10.140625" defaultRowHeight="15"/>
  <cols>
    <col min="1" max="1" width="12.7109375" style="383" customWidth="1"/>
    <col min="2" max="5" width="6.85546875" style="383" customWidth="1"/>
    <col min="6" max="7" width="6.85546875" style="381" customWidth="1"/>
    <col min="8" max="9" width="6.85546875" style="382" customWidth="1"/>
    <col min="10" max="16" width="7.28515625" style="381" customWidth="1"/>
    <col min="17" max="16384" width="10.140625" style="381"/>
  </cols>
  <sheetData>
    <row r="1" spans="1:15" s="379" customFormat="1" ht="18.75">
      <c r="A1" s="378" t="s">
        <v>32</v>
      </c>
      <c r="B1" s="378"/>
      <c r="C1" s="378"/>
      <c r="D1" s="378"/>
      <c r="E1" s="378"/>
      <c r="H1" s="380"/>
      <c r="I1" s="380"/>
      <c r="O1" s="888" t="s">
        <v>458</v>
      </c>
    </row>
    <row r="2" spans="1:15" s="379" customFormat="1">
      <c r="A2" s="831" t="s">
        <v>48</v>
      </c>
      <c r="H2" s="380"/>
      <c r="I2" s="380"/>
    </row>
    <row r="3" spans="1:15" s="379" customFormat="1" ht="15.75">
      <c r="A3" s="849" t="s">
        <v>104</v>
      </c>
      <c r="B3" s="378"/>
      <c r="C3" s="378"/>
      <c r="D3" s="378"/>
      <c r="E3" s="378"/>
      <c r="H3" s="380"/>
      <c r="I3" s="380"/>
    </row>
    <row r="4" spans="1:15" s="379" customFormat="1" ht="15.75">
      <c r="A4" s="849" t="s">
        <v>422</v>
      </c>
      <c r="B4" s="378"/>
      <c r="C4" s="378"/>
      <c r="D4" s="378"/>
      <c r="E4" s="378"/>
      <c r="H4" s="380"/>
      <c r="I4" s="380"/>
    </row>
    <row r="5" spans="1:15" s="379" customFormat="1">
      <c r="A5" s="831" t="s">
        <v>105</v>
      </c>
      <c r="H5" s="380"/>
      <c r="I5" s="380"/>
    </row>
    <row r="7" spans="1:15" ht="21">
      <c r="A7" s="386" t="s">
        <v>108</v>
      </c>
      <c r="B7" s="387"/>
      <c r="C7" s="387"/>
      <c r="D7" s="388"/>
      <c r="E7" s="387"/>
      <c r="F7" s="9"/>
      <c r="G7" s="9"/>
      <c r="H7" s="39"/>
      <c r="I7" s="39"/>
      <c r="J7" s="9"/>
      <c r="K7" s="9"/>
      <c r="L7" s="9"/>
      <c r="M7" s="9"/>
    </row>
    <row r="8" spans="1:15">
      <c r="A8" s="392" t="s">
        <v>106</v>
      </c>
      <c r="B8" s="393">
        <v>2010</v>
      </c>
      <c r="C8" s="394">
        <v>2011</v>
      </c>
      <c r="D8" s="394">
        <v>2012</v>
      </c>
      <c r="E8" s="394">
        <v>2013</v>
      </c>
      <c r="F8" s="394">
        <v>2014</v>
      </c>
      <c r="G8" s="394">
        <v>2015</v>
      </c>
      <c r="H8" s="394">
        <v>2016</v>
      </c>
      <c r="I8" s="394">
        <v>2017</v>
      </c>
      <c r="J8" s="394">
        <v>2018</v>
      </c>
      <c r="K8" s="394">
        <v>2019</v>
      </c>
      <c r="L8" s="394">
        <v>2020</v>
      </c>
      <c r="M8" s="394">
        <v>2021</v>
      </c>
      <c r="N8" s="394">
        <v>2022</v>
      </c>
    </row>
    <row r="9" spans="1:15">
      <c r="A9" s="395">
        <v>1</v>
      </c>
      <c r="B9" s="396">
        <v>1</v>
      </c>
      <c r="C9" s="396">
        <v>1</v>
      </c>
      <c r="D9" s="397">
        <v>0.99998783550923898</v>
      </c>
      <c r="E9" s="396">
        <v>1</v>
      </c>
      <c r="F9" s="396">
        <v>0.999970288755482</v>
      </c>
      <c r="G9" s="397">
        <v>0.99996238787503899</v>
      </c>
      <c r="H9" s="397">
        <v>1</v>
      </c>
      <c r="I9" s="397">
        <v>0.999983983966652</v>
      </c>
      <c r="J9" s="397">
        <v>0.99996915620180704</v>
      </c>
      <c r="K9" s="397">
        <v>0.99999940635450013</v>
      </c>
      <c r="L9" s="397">
        <v>0.99997520875842227</v>
      </c>
      <c r="M9" s="397">
        <v>1</v>
      </c>
      <c r="N9" s="1243">
        <v>1</v>
      </c>
    </row>
    <row r="10" spans="1:15">
      <c r="A10" s="401">
        <v>2</v>
      </c>
      <c r="B10" s="402">
        <v>0.99</v>
      </c>
      <c r="C10" s="402">
        <v>0.99</v>
      </c>
      <c r="D10" s="403">
        <v>0.98698456793685096</v>
      </c>
      <c r="E10" s="402">
        <v>1</v>
      </c>
      <c r="F10" s="402">
        <v>0.99982389335067701</v>
      </c>
      <c r="G10" s="403">
        <v>0.999810949582431</v>
      </c>
      <c r="H10" s="403">
        <v>1</v>
      </c>
      <c r="I10" s="403">
        <v>0.99990953105487201</v>
      </c>
      <c r="J10" s="403">
        <v>0.99991598736873</v>
      </c>
      <c r="K10" s="403">
        <v>0.99597603097582199</v>
      </c>
      <c r="L10" s="403">
        <v>0.99483948203558881</v>
      </c>
      <c r="M10" s="403">
        <v>0.99431171375243421</v>
      </c>
      <c r="N10" s="1244">
        <v>0.99332642055146525</v>
      </c>
    </row>
    <row r="11" spans="1:15">
      <c r="A11" s="401">
        <v>3</v>
      </c>
      <c r="B11" s="402">
        <v>0.91</v>
      </c>
      <c r="C11" s="402">
        <v>0.9</v>
      </c>
      <c r="D11" s="403">
        <v>0.90348661150295395</v>
      </c>
      <c r="E11" s="402">
        <v>1</v>
      </c>
      <c r="F11" s="402">
        <v>0.98589742273861003</v>
      </c>
      <c r="G11" s="403">
        <v>0.98537383235385101</v>
      </c>
      <c r="H11" s="403">
        <v>0.99</v>
      </c>
      <c r="I11" s="403">
        <v>0.99943554304092497</v>
      </c>
      <c r="J11" s="403">
        <v>0.986916648307263</v>
      </c>
      <c r="K11" s="403">
        <v>0.97449196887928224</v>
      </c>
      <c r="L11" s="403">
        <v>0.96915114064519226</v>
      </c>
      <c r="M11" s="403">
        <v>0.96444963187345534</v>
      </c>
      <c r="N11" s="1244">
        <v>0.95814505448869236</v>
      </c>
    </row>
    <row r="12" spans="1:15">
      <c r="A12" s="401">
        <v>4</v>
      </c>
      <c r="B12" s="404">
        <v>0.76</v>
      </c>
      <c r="C12" s="402">
        <v>0.75</v>
      </c>
      <c r="D12" s="403">
        <v>0.75164565576563303</v>
      </c>
      <c r="E12" s="402">
        <v>0.98389067871547098</v>
      </c>
      <c r="F12" s="402">
        <v>0.94443370642804703</v>
      </c>
      <c r="G12" s="403">
        <v>0.94616584879795496</v>
      </c>
      <c r="H12" s="403">
        <v>0.95</v>
      </c>
      <c r="I12" s="403">
        <v>0.99039459414365605</v>
      </c>
      <c r="J12" s="403">
        <v>0.96206697830447196</v>
      </c>
      <c r="K12" s="403">
        <v>0.92428793298625544</v>
      </c>
      <c r="L12" s="403">
        <v>0.91256439105590015</v>
      </c>
      <c r="M12" s="403">
        <v>0.90113744476769364</v>
      </c>
      <c r="N12" s="1244">
        <v>0.88264586465229156</v>
      </c>
    </row>
    <row r="13" spans="1:15">
      <c r="A13" s="401">
        <v>5</v>
      </c>
      <c r="B13" s="404">
        <v>0.65</v>
      </c>
      <c r="C13" s="402">
        <v>0.63</v>
      </c>
      <c r="D13" s="403">
        <v>0.62191438628846796</v>
      </c>
      <c r="E13" s="402">
        <v>0.90988059032929602</v>
      </c>
      <c r="F13" s="402">
        <v>0.86411303414897001</v>
      </c>
      <c r="G13" s="403">
        <v>0.86082379632670902</v>
      </c>
      <c r="H13" s="403">
        <v>0.87</v>
      </c>
      <c r="I13" s="403">
        <v>0.952398625080637</v>
      </c>
      <c r="J13" s="403">
        <v>0.90251507800471298</v>
      </c>
      <c r="K13" s="403">
        <v>0.85203355660159319</v>
      </c>
      <c r="L13" s="403">
        <v>0.83005870701561646</v>
      </c>
      <c r="M13" s="403">
        <v>0.81284051446114125</v>
      </c>
      <c r="N13" s="1244">
        <v>0.78101855526987907</v>
      </c>
    </row>
    <row r="14" spans="1:15">
      <c r="A14" s="401">
        <v>6</v>
      </c>
      <c r="B14" s="404">
        <v>0.56999999999999995</v>
      </c>
      <c r="C14" s="402">
        <v>0.54</v>
      </c>
      <c r="D14" s="403">
        <v>0.53207171301892997</v>
      </c>
      <c r="E14" s="402">
        <v>0.84771206646019104</v>
      </c>
      <c r="F14" s="402">
        <v>0.80016487989998197</v>
      </c>
      <c r="G14" s="403">
        <v>0.79378800256812398</v>
      </c>
      <c r="H14" s="403">
        <v>0.8</v>
      </c>
      <c r="I14" s="403">
        <v>0.90693684822346499</v>
      </c>
      <c r="J14" s="403">
        <v>0.84232676137528595</v>
      </c>
      <c r="K14" s="403">
        <v>0.78089261408609068</v>
      </c>
      <c r="L14" s="403">
        <v>0.75355492354968989</v>
      </c>
      <c r="M14" s="403">
        <v>0.72819255613334521</v>
      </c>
      <c r="N14" s="1244">
        <v>0.69030378521635882</v>
      </c>
    </row>
    <row r="15" spans="1:15">
      <c r="A15" s="401">
        <v>7</v>
      </c>
      <c r="B15" s="404">
        <v>0.51</v>
      </c>
      <c r="C15" s="402">
        <v>0.48</v>
      </c>
      <c r="D15" s="403">
        <v>0.46818063965789097</v>
      </c>
      <c r="E15" s="402">
        <v>0.786140428203423</v>
      </c>
      <c r="F15" s="402">
        <v>0.74229424505485797</v>
      </c>
      <c r="G15" s="403">
        <v>0.73760409884307798</v>
      </c>
      <c r="H15" s="403">
        <v>0.74</v>
      </c>
      <c r="I15" s="403">
        <v>0.85091511283430099</v>
      </c>
      <c r="J15" s="403">
        <v>0.78462610151162104</v>
      </c>
      <c r="K15" s="403">
        <v>0.71871495667058427</v>
      </c>
      <c r="L15" s="403">
        <v>0.68811892327268598</v>
      </c>
      <c r="M15" s="403">
        <v>0.66092017526105906</v>
      </c>
      <c r="N15" s="1244">
        <v>0.61895768257538786</v>
      </c>
    </row>
    <row r="16" spans="1:15">
      <c r="A16" s="401">
        <v>8</v>
      </c>
      <c r="B16" s="404">
        <v>0.49</v>
      </c>
      <c r="C16" s="402">
        <v>0.45</v>
      </c>
      <c r="D16" s="403">
        <v>0.423534580312112</v>
      </c>
      <c r="E16" s="402">
        <v>0.72178967468489397</v>
      </c>
      <c r="F16" s="402">
        <v>0.68559643009081805</v>
      </c>
      <c r="G16" s="403">
        <v>0.68181842816733496</v>
      </c>
      <c r="H16" s="403">
        <v>0.69</v>
      </c>
      <c r="I16" s="403">
        <v>0.78660072627288102</v>
      </c>
      <c r="J16" s="403">
        <v>0.72454971060297602</v>
      </c>
      <c r="K16" s="403">
        <v>0.66262623991407565</v>
      </c>
      <c r="L16" s="403">
        <v>0.6341506314679366</v>
      </c>
      <c r="M16" s="403">
        <v>0.60429273512191506</v>
      </c>
      <c r="N16" s="1244">
        <v>0.56474475532641699</v>
      </c>
    </row>
    <row r="17" spans="1:14">
      <c r="A17" s="401">
        <v>9</v>
      </c>
      <c r="B17" s="404">
        <v>0.47</v>
      </c>
      <c r="C17" s="402">
        <v>0.44</v>
      </c>
      <c r="D17" s="403">
        <v>0.39617526130333403</v>
      </c>
      <c r="E17" s="402">
        <v>0.66687051498704997</v>
      </c>
      <c r="F17" s="402">
        <v>0.62816272490999603</v>
      </c>
      <c r="G17" s="403">
        <v>0.62774165979785801</v>
      </c>
      <c r="H17" s="403">
        <v>0.64</v>
      </c>
      <c r="I17" s="403">
        <v>0.73378906239936403</v>
      </c>
      <c r="J17" s="403">
        <v>0.66700655283923604</v>
      </c>
      <c r="K17" s="403">
        <v>0.61120951348977282</v>
      </c>
      <c r="L17" s="403">
        <v>0.58498738165021846</v>
      </c>
      <c r="M17" s="403">
        <v>0.55615863496438822</v>
      </c>
      <c r="N17" s="1244">
        <v>0.51862021598886954</v>
      </c>
    </row>
    <row r="18" spans="1:14">
      <c r="A18" s="401">
        <v>10</v>
      </c>
      <c r="B18" s="404">
        <v>0.46</v>
      </c>
      <c r="C18" s="402">
        <v>0.42</v>
      </c>
      <c r="D18" s="403">
        <v>0.38729396824530699</v>
      </c>
      <c r="E18" s="402">
        <v>0.62050218252162403</v>
      </c>
      <c r="F18" s="402">
        <v>0.58145233459648105</v>
      </c>
      <c r="G18" s="403">
        <v>0.57257452112173801</v>
      </c>
      <c r="H18" s="403">
        <v>0.57999999999999996</v>
      </c>
      <c r="I18" s="403">
        <v>0.67761108606930498</v>
      </c>
      <c r="J18" s="403">
        <v>0.61280022584368399</v>
      </c>
      <c r="K18" s="403">
        <v>0.55900952341550703</v>
      </c>
      <c r="L18" s="403">
        <v>0.54075346497595667</v>
      </c>
      <c r="M18" s="403">
        <v>0.51191374027181535</v>
      </c>
      <c r="N18" s="1244">
        <v>0.47892663652100009</v>
      </c>
    </row>
    <row r="19" spans="1:14">
      <c r="A19" s="401">
        <v>11</v>
      </c>
      <c r="B19" s="404">
        <v>0.45</v>
      </c>
      <c r="C19" s="402">
        <v>0.41</v>
      </c>
      <c r="D19" s="403">
        <v>0.37594698009663502</v>
      </c>
      <c r="E19" s="402">
        <v>0.57594133107210699</v>
      </c>
      <c r="F19" s="402">
        <v>0.54115941343400997</v>
      </c>
      <c r="G19" s="403">
        <v>0.52773152471365703</v>
      </c>
      <c r="H19" s="403">
        <v>0.53</v>
      </c>
      <c r="I19" s="403">
        <v>0.62006773628487999</v>
      </c>
      <c r="J19" s="403">
        <v>0.55846558329218698</v>
      </c>
      <c r="K19" s="403">
        <v>0.51250686003123247</v>
      </c>
      <c r="L19" s="403">
        <v>0.49694634390550957</v>
      </c>
      <c r="M19" s="403">
        <v>0.47450874571296342</v>
      </c>
      <c r="N19" s="1244">
        <v>0.44478657075903699</v>
      </c>
    </row>
    <row r="20" spans="1:14">
      <c r="A20" s="401">
        <v>12</v>
      </c>
      <c r="B20" s="404">
        <v>0.42</v>
      </c>
      <c r="C20" s="402">
        <v>0.41</v>
      </c>
      <c r="D20" s="403">
        <v>0.365318158845994</v>
      </c>
      <c r="E20" s="402">
        <v>0.53321989491956201</v>
      </c>
      <c r="F20" s="402">
        <v>0.50347419493511703</v>
      </c>
      <c r="G20" s="403">
        <v>0.48991433864209999</v>
      </c>
      <c r="H20" s="403">
        <v>0.48</v>
      </c>
      <c r="I20" s="403">
        <v>0.55127091738162903</v>
      </c>
      <c r="J20" s="403">
        <v>0.50603018470440897</v>
      </c>
      <c r="K20" s="403">
        <v>0.47139259816521428</v>
      </c>
      <c r="L20" s="403">
        <v>0.45848417740571756</v>
      </c>
      <c r="M20" s="403">
        <v>0.43799545812076662</v>
      </c>
      <c r="N20" s="1244">
        <v>0.41564414450784998</v>
      </c>
    </row>
    <row r="21" spans="1:14">
      <c r="A21" s="401">
        <v>13</v>
      </c>
      <c r="B21" s="404">
        <v>0.38</v>
      </c>
      <c r="C21" s="402">
        <v>0.38</v>
      </c>
      <c r="D21" s="403">
        <v>0.35941201502626102</v>
      </c>
      <c r="E21" s="402">
        <v>0.49437633080929999</v>
      </c>
      <c r="F21" s="402">
        <v>0.46652023499693401</v>
      </c>
      <c r="G21" s="403">
        <v>0.45483394778647002</v>
      </c>
      <c r="H21" s="403">
        <v>0.45</v>
      </c>
      <c r="I21" s="403">
        <v>0.49408490675953498</v>
      </c>
      <c r="J21" s="403">
        <v>0.45367627015340201</v>
      </c>
      <c r="K21" s="403">
        <v>0.43291830061599906</v>
      </c>
      <c r="L21" s="403">
        <v>0.42424519392952664</v>
      </c>
      <c r="M21" s="403">
        <v>0.40576037775556373</v>
      </c>
      <c r="N21" s="1244">
        <v>0.38701068112925974</v>
      </c>
    </row>
    <row r="22" spans="1:14">
      <c r="A22" s="401">
        <v>14</v>
      </c>
      <c r="B22" s="404">
        <v>0.34</v>
      </c>
      <c r="C22" s="402">
        <v>0.35</v>
      </c>
      <c r="D22" s="403">
        <v>0.33790597059845401</v>
      </c>
      <c r="E22" s="402">
        <v>0.445164791349696</v>
      </c>
      <c r="F22" s="402">
        <v>0.43169325672909198</v>
      </c>
      <c r="G22" s="403">
        <v>0.42093821476874699</v>
      </c>
      <c r="H22" s="403">
        <v>0.41</v>
      </c>
      <c r="I22" s="403">
        <v>0.45083466217979201</v>
      </c>
      <c r="J22" s="403">
        <v>0.41083189720890301</v>
      </c>
      <c r="K22" s="403">
        <v>0.39329680247297871</v>
      </c>
      <c r="L22" s="403">
        <v>0.39003621135241689</v>
      </c>
      <c r="M22" s="403">
        <v>0.37578786337786679</v>
      </c>
      <c r="N22" s="1244">
        <v>0.36102189540328433</v>
      </c>
    </row>
    <row r="23" spans="1:14">
      <c r="A23" s="401">
        <v>15</v>
      </c>
      <c r="B23" s="404">
        <v>0.28999999999999998</v>
      </c>
      <c r="C23" s="402">
        <v>0.31</v>
      </c>
      <c r="D23" s="403">
        <v>0.300234368919164</v>
      </c>
      <c r="E23" s="402">
        <v>0.39179894987907798</v>
      </c>
      <c r="F23" s="402">
        <v>0.38784731273919498</v>
      </c>
      <c r="G23" s="403">
        <v>0.39059646760931599</v>
      </c>
      <c r="H23" s="403">
        <v>0.38</v>
      </c>
      <c r="I23" s="403">
        <v>0.40840031120044001</v>
      </c>
      <c r="J23" s="403">
        <v>0.36609569002140202</v>
      </c>
      <c r="K23" s="403">
        <v>0.3531597932188853</v>
      </c>
      <c r="L23" s="403">
        <v>0.3531843773370732</v>
      </c>
      <c r="M23" s="403">
        <v>0.34461099581395022</v>
      </c>
      <c r="N23" s="1244">
        <v>0.33449013139471062</v>
      </c>
    </row>
    <row r="24" spans="1:14">
      <c r="A24" s="401">
        <v>16</v>
      </c>
      <c r="B24" s="404">
        <v>0.26</v>
      </c>
      <c r="C24" s="402">
        <v>0.27</v>
      </c>
      <c r="D24" s="403">
        <v>0.26353075939383203</v>
      </c>
      <c r="E24" s="402">
        <v>0.34484060763739499</v>
      </c>
      <c r="F24" s="402">
        <v>0.34435387793816302</v>
      </c>
      <c r="G24" s="403">
        <v>0.34850912449465998</v>
      </c>
      <c r="H24" s="403">
        <v>0.34</v>
      </c>
      <c r="I24" s="403">
        <v>0.36399497937959502</v>
      </c>
      <c r="J24" s="403">
        <v>0.32722698640442699</v>
      </c>
      <c r="K24" s="403">
        <v>0.31359932083148001</v>
      </c>
      <c r="L24" s="403">
        <v>0.31524220440067408</v>
      </c>
      <c r="M24" s="403">
        <v>0.31090886633349868</v>
      </c>
      <c r="N24" s="1244">
        <v>0.30525326814720183</v>
      </c>
    </row>
    <row r="25" spans="1:14">
      <c r="A25" s="401">
        <v>17</v>
      </c>
      <c r="B25" s="404">
        <v>0.22</v>
      </c>
      <c r="C25" s="402">
        <v>0.23</v>
      </c>
      <c r="D25" s="403">
        <v>0.22600095888035401</v>
      </c>
      <c r="E25" s="402">
        <v>0.29661014808978298</v>
      </c>
      <c r="F25" s="402">
        <v>0.300774482591606</v>
      </c>
      <c r="G25" s="403">
        <v>0.31315059560134001</v>
      </c>
      <c r="H25" s="403">
        <v>0.31</v>
      </c>
      <c r="I25" s="403">
        <v>0.32160874623604002</v>
      </c>
      <c r="J25" s="403">
        <v>0.28847699695382201</v>
      </c>
      <c r="K25" s="403">
        <v>0.27674093658099846</v>
      </c>
      <c r="L25" s="403">
        <v>0.28087887278475199</v>
      </c>
      <c r="M25" s="403">
        <v>0.27614882783681444</v>
      </c>
      <c r="N25" s="1244">
        <v>0.27222147623302129</v>
      </c>
    </row>
    <row r="26" spans="1:14">
      <c r="A26" s="401">
        <v>18</v>
      </c>
      <c r="B26" s="404">
        <v>0.19</v>
      </c>
      <c r="C26" s="402">
        <v>0.2</v>
      </c>
      <c r="D26" s="403">
        <v>0.19108296989123</v>
      </c>
      <c r="E26" s="402">
        <v>0.26987115380730098</v>
      </c>
      <c r="F26" s="402">
        <v>0.26742469402581898</v>
      </c>
      <c r="G26" s="403">
        <v>0.27681197415352299</v>
      </c>
      <c r="H26" s="403">
        <v>0.28000000000000003</v>
      </c>
      <c r="I26" s="403">
        <v>0.2797202514462</v>
      </c>
      <c r="J26" s="403">
        <v>0.25579627488419898</v>
      </c>
      <c r="K26" s="403">
        <v>0.24220683150204048</v>
      </c>
      <c r="L26" s="403">
        <v>0.24532399319853557</v>
      </c>
      <c r="M26" s="403">
        <v>0.24349654438279059</v>
      </c>
      <c r="N26" s="1244">
        <v>0.23952752655034407</v>
      </c>
    </row>
    <row r="27" spans="1:14">
      <c r="A27" s="401">
        <v>19</v>
      </c>
      <c r="B27" s="404">
        <v>0.16</v>
      </c>
      <c r="C27" s="402">
        <v>0.17</v>
      </c>
      <c r="D27" s="403">
        <v>0.16117170380266799</v>
      </c>
      <c r="E27" s="402">
        <v>0.23191438028971001</v>
      </c>
      <c r="F27" s="402">
        <v>0.226059154101689</v>
      </c>
      <c r="G27" s="403">
        <v>0.23768575722157301</v>
      </c>
      <c r="H27" s="403">
        <v>0.24</v>
      </c>
      <c r="I27" s="403">
        <v>0.240112086977537</v>
      </c>
      <c r="J27" s="403">
        <v>0.222960741236959</v>
      </c>
      <c r="K27" s="403">
        <v>0.20616964812829933</v>
      </c>
      <c r="L27" s="403">
        <v>0.21349218817992446</v>
      </c>
      <c r="M27" s="403">
        <v>0.20974019775559519</v>
      </c>
      <c r="N27" s="1244">
        <v>0.21103066055233508</v>
      </c>
    </row>
    <row r="28" spans="1:14">
      <c r="A28" s="398">
        <v>20</v>
      </c>
      <c r="B28" s="399">
        <v>0.13</v>
      </c>
      <c r="C28" s="399">
        <v>0.15</v>
      </c>
      <c r="D28" s="399">
        <v>0.15093303033519201</v>
      </c>
      <c r="E28" s="399">
        <v>0.20263277419555201</v>
      </c>
      <c r="F28" s="399">
        <v>0.18726186368341699</v>
      </c>
      <c r="G28" s="399">
        <v>0.197199002174925</v>
      </c>
      <c r="H28" s="400">
        <v>0.21</v>
      </c>
      <c r="I28" s="400">
        <v>0.211204057639158</v>
      </c>
      <c r="J28" s="400">
        <v>0.20430929782735799</v>
      </c>
      <c r="K28" s="400">
        <v>0.17005515747022978</v>
      </c>
      <c r="L28" s="400">
        <v>0.1789201725120026</v>
      </c>
      <c r="M28" s="400">
        <v>0.18477314807488407</v>
      </c>
      <c r="N28" s="1245">
        <v>0.18186645101474846</v>
      </c>
    </row>
    <row r="29" spans="1:14">
      <c r="A29" s="133"/>
      <c r="B29" s="133"/>
      <c r="C29" s="133"/>
      <c r="D29" s="9"/>
      <c r="E29" s="9"/>
      <c r="F29" s="39"/>
      <c r="G29" s="39"/>
      <c r="H29" s="9"/>
      <c r="I29" s="9"/>
      <c r="J29" s="9"/>
      <c r="K29" s="9"/>
      <c r="L29" s="9"/>
      <c r="M29" s="9"/>
    </row>
    <row r="30" spans="1:14">
      <c r="A30" s="133"/>
      <c r="B30" s="133"/>
      <c r="C30" s="133"/>
      <c r="D30" s="9"/>
      <c r="E30" s="9"/>
      <c r="F30" s="39"/>
      <c r="G30" s="39"/>
      <c r="H30" s="9"/>
      <c r="I30" s="9"/>
      <c r="J30" s="9"/>
      <c r="K30" s="9"/>
      <c r="L30" s="9"/>
      <c r="M30" s="9"/>
    </row>
    <row r="31" spans="1:14">
      <c r="A31" s="133"/>
      <c r="B31" s="133"/>
      <c r="C31" s="133"/>
      <c r="D31" s="9"/>
      <c r="E31" s="9"/>
      <c r="F31" s="39"/>
      <c r="G31" s="39"/>
      <c r="H31" s="9"/>
      <c r="I31" s="9"/>
      <c r="J31" s="9"/>
      <c r="K31" s="9"/>
      <c r="L31" s="9"/>
      <c r="M31" s="9"/>
    </row>
    <row r="32" spans="1:14">
      <c r="A32" s="133"/>
      <c r="B32" s="133"/>
      <c r="C32" s="133"/>
      <c r="D32" s="9"/>
      <c r="E32" s="9"/>
      <c r="F32" s="39"/>
      <c r="G32" s="39"/>
      <c r="H32" s="9"/>
      <c r="I32" s="9"/>
      <c r="J32" s="9"/>
      <c r="K32" s="9"/>
      <c r="L32" s="9"/>
      <c r="M32" s="9"/>
    </row>
    <row r="33" spans="1:16" ht="18">
      <c r="A33" s="389" t="s">
        <v>38</v>
      </c>
      <c r="B33" s="389"/>
      <c r="C33" s="389"/>
      <c r="D33" s="10"/>
      <c r="E33" s="10"/>
      <c r="F33" s="390"/>
      <c r="G33" s="390"/>
      <c r="H33" s="10"/>
      <c r="I33" s="10"/>
      <c r="J33" s="10"/>
      <c r="K33" s="10"/>
      <c r="L33" s="10"/>
      <c r="M33" s="10"/>
    </row>
    <row r="34" spans="1:16">
      <c r="A34" s="392" t="s">
        <v>106</v>
      </c>
      <c r="B34" s="393">
        <v>2010</v>
      </c>
      <c r="C34" s="394">
        <v>2011</v>
      </c>
      <c r="D34" s="394">
        <v>2012</v>
      </c>
      <c r="E34" s="394">
        <v>2013</v>
      </c>
      <c r="F34" s="394">
        <v>2014</v>
      </c>
      <c r="G34" s="394">
        <v>2015</v>
      </c>
      <c r="H34" s="394">
        <v>2016</v>
      </c>
      <c r="I34" s="394">
        <v>2017</v>
      </c>
      <c r="J34" s="394">
        <v>2018</v>
      </c>
      <c r="K34" s="394">
        <v>2019</v>
      </c>
      <c r="L34" s="394">
        <v>2020</v>
      </c>
      <c r="M34" s="394">
        <v>2021</v>
      </c>
      <c r="N34" s="394">
        <v>2022</v>
      </c>
    </row>
    <row r="35" spans="1:16">
      <c r="A35" s="395">
        <v>1</v>
      </c>
      <c r="B35" s="405">
        <v>1</v>
      </c>
      <c r="C35" s="406">
        <v>1</v>
      </c>
      <c r="D35" s="407">
        <v>1</v>
      </c>
      <c r="E35" s="406">
        <v>1</v>
      </c>
      <c r="F35" s="406">
        <v>1</v>
      </c>
      <c r="G35" s="397">
        <v>1</v>
      </c>
      <c r="H35" s="397">
        <v>1</v>
      </c>
      <c r="I35" s="397">
        <v>1</v>
      </c>
      <c r="J35" s="397">
        <v>1</v>
      </c>
      <c r="K35" s="397">
        <v>1</v>
      </c>
      <c r="L35" s="397">
        <v>0.99966655551850614</v>
      </c>
      <c r="M35" s="397">
        <v>1</v>
      </c>
      <c r="N35" s="1246">
        <v>1</v>
      </c>
      <c r="P35" s="384"/>
    </row>
    <row r="36" spans="1:16">
      <c r="A36" s="401">
        <v>2</v>
      </c>
      <c r="B36" s="404">
        <v>1</v>
      </c>
      <c r="C36" s="410">
        <v>1</v>
      </c>
      <c r="D36" s="411">
        <v>1</v>
      </c>
      <c r="E36" s="410">
        <v>0.99976465050600105</v>
      </c>
      <c r="F36" s="410">
        <v>1</v>
      </c>
      <c r="G36" s="403">
        <v>1</v>
      </c>
      <c r="H36" s="403">
        <v>1</v>
      </c>
      <c r="I36" s="403">
        <v>0.99994622788621801</v>
      </c>
      <c r="J36" s="403">
        <v>0.99983810037776599</v>
      </c>
      <c r="K36" s="403">
        <v>0.99990331625253792</v>
      </c>
      <c r="L36" s="403">
        <v>0.99943342776203969</v>
      </c>
      <c r="M36" s="403">
        <v>0.9998385881846551</v>
      </c>
      <c r="N36" s="1247">
        <v>0.9998460117031106</v>
      </c>
      <c r="P36" s="384"/>
    </row>
    <row r="37" spans="1:16">
      <c r="A37" s="401">
        <v>3</v>
      </c>
      <c r="B37" s="404">
        <v>0.999</v>
      </c>
      <c r="C37" s="410">
        <v>0.999</v>
      </c>
      <c r="D37" s="411">
        <v>1</v>
      </c>
      <c r="E37" s="410">
        <v>1</v>
      </c>
      <c r="F37" s="410">
        <v>1</v>
      </c>
      <c r="G37" s="403">
        <v>1</v>
      </c>
      <c r="H37" s="403">
        <v>1</v>
      </c>
      <c r="I37" s="403">
        <v>0.99959893048128301</v>
      </c>
      <c r="J37" s="403">
        <v>0.99987200491501105</v>
      </c>
      <c r="K37" s="403">
        <v>0.99977400619223034</v>
      </c>
      <c r="L37" s="403">
        <v>0.99887710868543378</v>
      </c>
      <c r="M37" s="403">
        <v>0.9998675180837816</v>
      </c>
      <c r="N37" s="1247">
        <v>0.99962627067968901</v>
      </c>
      <c r="P37" s="384"/>
    </row>
    <row r="38" spans="1:16">
      <c r="A38" s="401">
        <v>4</v>
      </c>
      <c r="B38" s="404">
        <v>0.998</v>
      </c>
      <c r="C38" s="410">
        <v>0.998</v>
      </c>
      <c r="D38" s="411">
        <v>0.99942242840907003</v>
      </c>
      <c r="E38" s="410">
        <v>0.99981466961294496</v>
      </c>
      <c r="F38" s="410">
        <v>1</v>
      </c>
      <c r="G38" s="403">
        <v>1</v>
      </c>
      <c r="H38" s="403">
        <v>1</v>
      </c>
      <c r="I38" s="403">
        <v>0.99929292822693805</v>
      </c>
      <c r="J38" s="403">
        <v>0.99935395565288798</v>
      </c>
      <c r="K38" s="403">
        <v>0.99903394841870041</v>
      </c>
      <c r="L38" s="403">
        <v>0.99478305127878863</v>
      </c>
      <c r="M38" s="403">
        <v>0.99892612897756172</v>
      </c>
      <c r="N38" s="1247">
        <v>0.99822042218949436</v>
      </c>
      <c r="P38" s="384"/>
    </row>
    <row r="39" spans="1:16">
      <c r="A39" s="401">
        <v>5</v>
      </c>
      <c r="B39" s="404">
        <v>0.996</v>
      </c>
      <c r="C39" s="410">
        <v>0.996</v>
      </c>
      <c r="D39" s="411">
        <v>0.99761062876347895</v>
      </c>
      <c r="E39" s="410">
        <v>0.99816016722905498</v>
      </c>
      <c r="F39" s="410">
        <v>1</v>
      </c>
      <c r="G39" s="403">
        <v>1</v>
      </c>
      <c r="H39" s="403">
        <v>1</v>
      </c>
      <c r="I39" s="403">
        <v>0.99652387662245001</v>
      </c>
      <c r="J39" s="403">
        <v>0.99714225495301101</v>
      </c>
      <c r="K39" s="403">
        <v>0.9960653243457277</v>
      </c>
      <c r="L39" s="403">
        <v>0.99136785758261126</v>
      </c>
      <c r="M39" s="403">
        <v>0.99604693715691728</v>
      </c>
      <c r="N39" s="1247">
        <v>0.99503981602671532</v>
      </c>
      <c r="P39" s="384"/>
    </row>
    <row r="40" spans="1:16">
      <c r="A40" s="401">
        <v>6</v>
      </c>
      <c r="B40" s="404">
        <v>0.996</v>
      </c>
      <c r="C40" s="410">
        <v>0.996</v>
      </c>
      <c r="D40" s="411">
        <v>0.99625706609951303</v>
      </c>
      <c r="E40" s="410">
        <v>0.99602641452038099</v>
      </c>
      <c r="F40" s="410">
        <v>1</v>
      </c>
      <c r="G40" s="403">
        <v>1</v>
      </c>
      <c r="H40" s="403">
        <v>1</v>
      </c>
      <c r="I40" s="403">
        <v>0.99079997974307499</v>
      </c>
      <c r="J40" s="403">
        <v>0.99204974008765701</v>
      </c>
      <c r="K40" s="403">
        <v>0.99081035923141181</v>
      </c>
      <c r="L40" s="403">
        <v>0.98001684577075054</v>
      </c>
      <c r="M40" s="403">
        <v>0.98963665086887831</v>
      </c>
      <c r="N40" s="1247">
        <v>0.98904138619493509</v>
      </c>
      <c r="P40" s="384"/>
    </row>
    <row r="41" spans="1:16">
      <c r="A41" s="401">
        <v>7</v>
      </c>
      <c r="B41" s="404">
        <v>0.99</v>
      </c>
      <c r="C41" s="410">
        <v>0.99</v>
      </c>
      <c r="D41" s="411">
        <v>0.99179569547060697</v>
      </c>
      <c r="E41" s="410">
        <v>0.99162371535589899</v>
      </c>
      <c r="F41" s="410">
        <v>0.99</v>
      </c>
      <c r="G41" s="403">
        <v>0.99</v>
      </c>
      <c r="H41" s="403">
        <v>0.99</v>
      </c>
      <c r="I41" s="403">
        <v>0.97728590814137495</v>
      </c>
      <c r="J41" s="403">
        <v>0.97880907900575798</v>
      </c>
      <c r="K41" s="403">
        <v>0.97381371793460314</v>
      </c>
      <c r="L41" s="403">
        <v>0.93630049250204284</v>
      </c>
      <c r="M41" s="403">
        <v>0.97313211030864577</v>
      </c>
      <c r="N41" s="1247">
        <v>0.97267440891747337</v>
      </c>
      <c r="P41" s="384"/>
    </row>
    <row r="42" spans="1:16">
      <c r="A42" s="401">
        <v>8</v>
      </c>
      <c r="B42" s="404">
        <v>0.97199999999999998</v>
      </c>
      <c r="C42" s="410">
        <v>0.98</v>
      </c>
      <c r="D42" s="411">
        <v>0.98293033380817596</v>
      </c>
      <c r="E42" s="410">
        <v>0.98316325282039996</v>
      </c>
      <c r="F42" s="410">
        <v>0.98</v>
      </c>
      <c r="G42" s="403">
        <v>0.99</v>
      </c>
      <c r="H42" s="403">
        <v>0.98</v>
      </c>
      <c r="I42" s="403">
        <v>0.92753819497355805</v>
      </c>
      <c r="J42" s="403">
        <v>0.93545314797487</v>
      </c>
      <c r="K42" s="403">
        <v>0.92255979734667037</v>
      </c>
      <c r="L42" s="403">
        <v>0.88441045265571394</v>
      </c>
      <c r="M42" s="403">
        <v>0.92427669960709613</v>
      </c>
      <c r="N42" s="1247">
        <v>0.9248788502850418</v>
      </c>
      <c r="P42" s="384"/>
    </row>
    <row r="43" spans="1:16">
      <c r="A43" s="401">
        <v>9</v>
      </c>
      <c r="B43" s="404">
        <v>0.93200000000000005</v>
      </c>
      <c r="C43" s="410">
        <v>0.94</v>
      </c>
      <c r="D43" s="411">
        <v>0.95187665961493795</v>
      </c>
      <c r="E43" s="410">
        <v>0.95874542704057997</v>
      </c>
      <c r="F43" s="410">
        <v>0.94</v>
      </c>
      <c r="G43" s="403">
        <v>0.97</v>
      </c>
      <c r="H43" s="403">
        <v>0.95</v>
      </c>
      <c r="I43" s="403">
        <v>0.87764022496044702</v>
      </c>
      <c r="J43" s="403">
        <v>0.87264328332238805</v>
      </c>
      <c r="K43" s="403">
        <v>0.87008336008679188</v>
      </c>
      <c r="L43" s="403">
        <v>0.83088495967384557</v>
      </c>
      <c r="M43" s="403">
        <v>0.86286731001860617</v>
      </c>
      <c r="N43" s="1247">
        <v>0.86576034390112844</v>
      </c>
      <c r="P43" s="384"/>
    </row>
    <row r="44" spans="1:16">
      <c r="A44" s="401">
        <v>10</v>
      </c>
      <c r="B44" s="404">
        <v>0.90300000000000002</v>
      </c>
      <c r="C44" s="410">
        <v>0.89</v>
      </c>
      <c r="D44" s="411">
        <v>0.89362894086132305</v>
      </c>
      <c r="E44" s="410">
        <v>0.90351497117351698</v>
      </c>
      <c r="F44" s="410">
        <v>0.89</v>
      </c>
      <c r="G44" s="403">
        <v>0.92</v>
      </c>
      <c r="H44" s="403">
        <v>0.9</v>
      </c>
      <c r="I44" s="403">
        <v>0.83908548128731597</v>
      </c>
      <c r="J44" s="403">
        <v>0.83194244604316503</v>
      </c>
      <c r="K44" s="403">
        <v>0.81674449819635919</v>
      </c>
      <c r="L44" s="403">
        <v>0.7857958169671333</v>
      </c>
      <c r="M44" s="403">
        <v>0.81570907763263156</v>
      </c>
      <c r="N44" s="1247">
        <v>0.81172866189724857</v>
      </c>
      <c r="P44" s="384"/>
    </row>
    <row r="45" spans="1:16">
      <c r="A45" s="401">
        <v>11</v>
      </c>
      <c r="B45" s="404">
        <v>0.88800000000000001</v>
      </c>
      <c r="C45" s="410">
        <v>0.88</v>
      </c>
      <c r="D45" s="411">
        <v>0.82901554404145095</v>
      </c>
      <c r="E45" s="410">
        <v>0.83927589074393905</v>
      </c>
      <c r="F45" s="410">
        <v>0.83</v>
      </c>
      <c r="G45" s="403">
        <v>0.87</v>
      </c>
      <c r="H45" s="403">
        <v>0.86</v>
      </c>
      <c r="I45" s="403">
        <v>0.80182445471025099</v>
      </c>
      <c r="J45" s="403">
        <v>0.78849743480836498</v>
      </c>
      <c r="K45" s="403">
        <v>0.76218398594089198</v>
      </c>
      <c r="L45" s="403">
        <v>0.71989912278182144</v>
      </c>
      <c r="M45" s="403">
        <v>0.7535724122734534</v>
      </c>
      <c r="N45" s="1247">
        <v>0.75157355674714355</v>
      </c>
      <c r="P45" s="384"/>
    </row>
    <row r="46" spans="1:16">
      <c r="A46" s="401">
        <v>12</v>
      </c>
      <c r="B46" s="404">
        <v>0.83699999999999997</v>
      </c>
      <c r="C46" s="410">
        <v>0.86</v>
      </c>
      <c r="D46" s="411">
        <v>0.84446010976916797</v>
      </c>
      <c r="E46" s="410">
        <v>0.77532079995359604</v>
      </c>
      <c r="F46" s="410">
        <v>0.77</v>
      </c>
      <c r="G46" s="403">
        <v>0.81</v>
      </c>
      <c r="H46" s="403">
        <v>0.81</v>
      </c>
      <c r="I46" s="403">
        <v>0.756017673955791</v>
      </c>
      <c r="J46" s="403">
        <v>0.74447551712662696</v>
      </c>
      <c r="K46" s="403">
        <v>0.7106490781661533</v>
      </c>
      <c r="L46" s="403">
        <v>0.69766987581972928</v>
      </c>
      <c r="M46" s="403">
        <v>0.68460341972782668</v>
      </c>
      <c r="N46" s="1247">
        <v>0.68663029249672747</v>
      </c>
      <c r="P46" s="384"/>
    </row>
    <row r="47" spans="1:16">
      <c r="A47" s="401">
        <v>13</v>
      </c>
      <c r="B47" s="404">
        <v>0.76800000000000002</v>
      </c>
      <c r="C47" s="410">
        <v>0.8</v>
      </c>
      <c r="D47" s="411">
        <v>0.82020773880757303</v>
      </c>
      <c r="E47" s="410">
        <v>0.80084313543665397</v>
      </c>
      <c r="F47" s="410">
        <v>0.71</v>
      </c>
      <c r="G47" s="403">
        <v>0.75</v>
      </c>
      <c r="H47" s="403">
        <v>0.75</v>
      </c>
      <c r="I47" s="403">
        <v>0.70191460812304596</v>
      </c>
      <c r="J47" s="403">
        <v>0.69754050823184099</v>
      </c>
      <c r="K47" s="403">
        <v>0.6682683056253681</v>
      </c>
      <c r="L47" s="403">
        <v>0.64765609508590627</v>
      </c>
      <c r="M47" s="403">
        <v>0.63556009033900052</v>
      </c>
      <c r="N47" s="1247">
        <v>0.62845290793173525</v>
      </c>
      <c r="P47" s="384"/>
    </row>
    <row r="48" spans="1:16">
      <c r="A48" s="401">
        <v>14</v>
      </c>
      <c r="B48" s="404">
        <v>0.69899999999999995</v>
      </c>
      <c r="C48" s="410">
        <v>0.72</v>
      </c>
      <c r="D48" s="411">
        <v>0.74095565809024799</v>
      </c>
      <c r="E48" s="410">
        <v>0.76426162976976897</v>
      </c>
      <c r="F48" s="410">
        <v>0.73</v>
      </c>
      <c r="G48" s="403">
        <v>0.69</v>
      </c>
      <c r="H48" s="403">
        <v>0.68</v>
      </c>
      <c r="I48" s="403">
        <v>0.64237563140976595</v>
      </c>
      <c r="J48" s="403">
        <v>0.648460897765333</v>
      </c>
      <c r="K48" s="403">
        <v>0.62741688403096929</v>
      </c>
      <c r="L48" s="403">
        <v>0.59165168220318931</v>
      </c>
      <c r="M48" s="403">
        <v>0.58485971413446269</v>
      </c>
      <c r="N48" s="1247">
        <v>0.5742962224590108</v>
      </c>
      <c r="P48" s="384"/>
    </row>
    <row r="49" spans="1:16">
      <c r="A49" s="401">
        <v>15</v>
      </c>
      <c r="B49" s="404">
        <v>0.629</v>
      </c>
      <c r="C49" s="410">
        <v>0.65</v>
      </c>
      <c r="D49" s="411">
        <v>0.66309228655424102</v>
      </c>
      <c r="E49" s="410">
        <v>0.68446461857632002</v>
      </c>
      <c r="F49" s="410">
        <v>0.69</v>
      </c>
      <c r="G49" s="403">
        <v>0.7</v>
      </c>
      <c r="H49" s="403">
        <v>0.62</v>
      </c>
      <c r="I49" s="403">
        <v>0.582858919924094</v>
      </c>
      <c r="J49" s="403">
        <v>0.58448321227734201</v>
      </c>
      <c r="K49" s="403">
        <v>0.57479747762216293</v>
      </c>
      <c r="L49" s="403">
        <v>0.54156111790166106</v>
      </c>
      <c r="M49" s="403">
        <v>0.53398346703018229</v>
      </c>
      <c r="N49" s="1247">
        <v>0.51828065993070949</v>
      </c>
      <c r="P49" s="384"/>
    </row>
    <row r="50" spans="1:16">
      <c r="A50" s="401">
        <v>16</v>
      </c>
      <c r="B50" s="404">
        <v>0.56699999999999995</v>
      </c>
      <c r="C50" s="410">
        <v>0.57999999999999996</v>
      </c>
      <c r="D50" s="411">
        <v>0.59375024791159303</v>
      </c>
      <c r="E50" s="410">
        <v>0.610521635131405</v>
      </c>
      <c r="F50" s="410">
        <v>0.61</v>
      </c>
      <c r="G50" s="403">
        <v>0.67</v>
      </c>
      <c r="H50" s="403">
        <v>0.64</v>
      </c>
      <c r="I50" s="403">
        <v>0.52401262201926702</v>
      </c>
      <c r="J50" s="403">
        <v>0.52264638146416398</v>
      </c>
      <c r="K50" s="403">
        <v>0.50910915075063312</v>
      </c>
      <c r="L50" s="403">
        <v>0.48495304518063076</v>
      </c>
      <c r="M50" s="403">
        <v>0.48915755246822346</v>
      </c>
      <c r="N50" s="1247">
        <v>0.47442101523965924</v>
      </c>
      <c r="P50" s="384"/>
    </row>
    <row r="51" spans="1:16">
      <c r="A51" s="401">
        <v>17</v>
      </c>
      <c r="B51" s="404">
        <v>0.499</v>
      </c>
      <c r="C51" s="410">
        <v>0.52</v>
      </c>
      <c r="D51" s="411">
        <v>0.52268730214562098</v>
      </c>
      <c r="E51" s="410">
        <v>0.53873658173054095</v>
      </c>
      <c r="F51" s="410">
        <v>0.53</v>
      </c>
      <c r="G51" s="403">
        <v>0.59</v>
      </c>
      <c r="H51" s="403">
        <v>0.6</v>
      </c>
      <c r="I51" s="403">
        <v>0.53614658130239501</v>
      </c>
      <c r="J51" s="403">
        <v>0.46567376614051098</v>
      </c>
      <c r="K51" s="403">
        <v>0.45240873690352368</v>
      </c>
      <c r="L51" s="403">
        <v>0.4197627957125642</v>
      </c>
      <c r="M51" s="403">
        <v>0.43654780386161468</v>
      </c>
      <c r="N51" s="1247">
        <v>0.43367775190041025</v>
      </c>
      <c r="P51" s="384"/>
    </row>
    <row r="52" spans="1:16">
      <c r="A52" s="401">
        <v>18</v>
      </c>
      <c r="B52" s="404">
        <v>0.432</v>
      </c>
      <c r="C52" s="410">
        <v>0.45</v>
      </c>
      <c r="D52" s="411">
        <v>0.459987737584304</v>
      </c>
      <c r="E52" s="410">
        <v>0.47030638026476101</v>
      </c>
      <c r="F52" s="410">
        <v>0.46</v>
      </c>
      <c r="G52" s="403">
        <v>0.51</v>
      </c>
      <c r="H52" s="403">
        <v>0.53</v>
      </c>
      <c r="I52" s="403">
        <v>0.49336214412980001</v>
      </c>
      <c r="J52" s="403">
        <v>0.476794263448578</v>
      </c>
      <c r="K52" s="403">
        <v>0.39986409646586707</v>
      </c>
      <c r="L52" s="403">
        <v>0.42176743984229997</v>
      </c>
      <c r="M52" s="403">
        <v>0.38389793709137837</v>
      </c>
      <c r="N52" s="1247">
        <v>0.38372683272340929</v>
      </c>
      <c r="P52" s="384"/>
    </row>
    <row r="53" spans="1:16">
      <c r="A53" s="401">
        <v>19</v>
      </c>
      <c r="B53" s="404">
        <v>0.36</v>
      </c>
      <c r="C53" s="410">
        <v>0.38</v>
      </c>
      <c r="D53" s="411">
        <v>0.38812797012898798</v>
      </c>
      <c r="E53" s="410">
        <v>0.40450365768932101</v>
      </c>
      <c r="F53" s="410">
        <v>0.4</v>
      </c>
      <c r="G53" s="403">
        <v>0.44</v>
      </c>
      <c r="H53" s="403">
        <v>0.45</v>
      </c>
      <c r="I53" s="403">
        <v>0.41773243617037797</v>
      </c>
      <c r="J53" s="403">
        <v>0.43244492957960001</v>
      </c>
      <c r="K53" s="403">
        <v>0.40290109144375952</v>
      </c>
      <c r="L53" s="403">
        <v>0.40457373109006078</v>
      </c>
      <c r="M53" s="403">
        <v>0.33511103783276475</v>
      </c>
      <c r="N53" s="1247">
        <v>0.33273809159791828</v>
      </c>
      <c r="P53" s="384"/>
    </row>
    <row r="54" spans="1:16">
      <c r="A54" s="398">
        <v>20</v>
      </c>
      <c r="B54" s="399">
        <v>0.27500000000000002</v>
      </c>
      <c r="C54" s="408">
        <v>0.26</v>
      </c>
      <c r="D54" s="409">
        <v>0.30625773378115601</v>
      </c>
      <c r="E54" s="408">
        <v>0.327147451399672</v>
      </c>
      <c r="F54" s="408">
        <v>0.32</v>
      </c>
      <c r="G54" s="400">
        <v>0.38</v>
      </c>
      <c r="H54" s="400">
        <v>0.38</v>
      </c>
      <c r="I54" s="400">
        <v>0.33153409743436602</v>
      </c>
      <c r="J54" s="400">
        <v>0.34564524900940102</v>
      </c>
      <c r="K54" s="400">
        <v>0.33598605426709111</v>
      </c>
      <c r="L54" s="400">
        <v>0.32243524542332003</v>
      </c>
      <c r="M54" s="400">
        <v>0.28124379034274105</v>
      </c>
      <c r="N54" s="1245">
        <v>0.277830269440763</v>
      </c>
      <c r="P54" s="384"/>
    </row>
    <row r="55" spans="1:16">
      <c r="A55" s="133"/>
      <c r="B55" s="133"/>
      <c r="C55" s="133"/>
      <c r="D55" s="391"/>
      <c r="E55" s="9"/>
      <c r="F55" s="9"/>
      <c r="G55" s="9"/>
      <c r="H55" s="9"/>
      <c r="I55" s="9"/>
      <c r="J55" s="9"/>
      <c r="K55" s="9"/>
      <c r="L55" s="9"/>
      <c r="M55" s="9"/>
    </row>
    <row r="56" spans="1:16">
      <c r="A56" s="133"/>
      <c r="B56" s="133"/>
      <c r="C56" s="133"/>
      <c r="D56" s="9"/>
      <c r="E56" s="391"/>
      <c r="F56" s="39"/>
      <c r="G56" s="9"/>
      <c r="H56" s="9"/>
      <c r="I56" s="9"/>
      <c r="J56" s="9"/>
      <c r="K56" s="9"/>
      <c r="L56" s="9"/>
      <c r="M56" s="9"/>
    </row>
    <row r="57" spans="1:16">
      <c r="A57" s="133"/>
      <c r="B57" s="133"/>
      <c r="C57" s="133"/>
      <c r="D57" s="9"/>
      <c r="E57" s="391"/>
      <c r="F57" s="39"/>
      <c r="G57" s="39"/>
      <c r="H57" s="9"/>
      <c r="I57" s="9"/>
      <c r="J57" s="9"/>
      <c r="K57" s="9"/>
      <c r="L57" s="9"/>
      <c r="M57" s="9"/>
    </row>
    <row r="58" spans="1:16">
      <c r="A58" s="133"/>
      <c r="B58" s="133"/>
      <c r="C58" s="133"/>
      <c r="D58" s="9"/>
      <c r="E58" s="391"/>
      <c r="F58" s="39"/>
      <c r="G58" s="39"/>
      <c r="H58" s="9"/>
      <c r="I58" s="9"/>
      <c r="J58" s="9"/>
      <c r="K58" s="9"/>
      <c r="L58" s="9"/>
      <c r="M58" s="9"/>
    </row>
    <row r="59" spans="1:16" ht="18">
      <c r="A59" s="389" t="s">
        <v>42</v>
      </c>
      <c r="B59" s="389"/>
      <c r="C59" s="389"/>
      <c r="D59" s="9"/>
      <c r="E59" s="9"/>
      <c r="F59" s="39"/>
      <c r="G59" s="39"/>
      <c r="H59" s="9"/>
      <c r="I59" s="9"/>
      <c r="J59" s="9"/>
      <c r="K59" s="9"/>
      <c r="L59" s="9"/>
      <c r="M59" s="9"/>
    </row>
    <row r="60" spans="1:16">
      <c r="A60" s="392" t="s">
        <v>106</v>
      </c>
      <c r="B60" s="393">
        <v>2010</v>
      </c>
      <c r="C60" s="394">
        <v>2011</v>
      </c>
      <c r="D60" s="394">
        <v>2012</v>
      </c>
      <c r="E60" s="394">
        <v>2013</v>
      </c>
      <c r="F60" s="394">
        <v>2014</v>
      </c>
      <c r="G60" s="394">
        <v>2015</v>
      </c>
      <c r="H60" s="394">
        <v>2016</v>
      </c>
      <c r="I60" s="394">
        <v>2017</v>
      </c>
      <c r="J60" s="394">
        <v>2018</v>
      </c>
      <c r="K60" s="394">
        <v>2019</v>
      </c>
      <c r="L60" s="394">
        <v>2020</v>
      </c>
      <c r="M60" s="394">
        <v>2021</v>
      </c>
      <c r="N60" s="394">
        <v>2022</v>
      </c>
    </row>
    <row r="61" spans="1:16">
      <c r="A61" s="395">
        <v>1</v>
      </c>
      <c r="B61" s="405">
        <v>1</v>
      </c>
      <c r="C61" s="412">
        <v>0.99984818582055601</v>
      </c>
      <c r="D61" s="412">
        <v>0.99986876640419997</v>
      </c>
      <c r="E61" s="412">
        <v>0.999927373084465</v>
      </c>
      <c r="F61" s="412">
        <v>1</v>
      </c>
      <c r="G61" s="412">
        <v>1</v>
      </c>
      <c r="H61" s="396">
        <v>1</v>
      </c>
      <c r="I61" s="396">
        <v>1</v>
      </c>
      <c r="J61" s="396">
        <v>0.99990594431903701</v>
      </c>
      <c r="K61" s="396">
        <v>1</v>
      </c>
      <c r="L61" s="396">
        <v>0.99992825369493477</v>
      </c>
      <c r="M61" s="396">
        <v>1</v>
      </c>
      <c r="N61" s="1246">
        <v>1</v>
      </c>
    </row>
    <row r="62" spans="1:16">
      <c r="A62" s="401">
        <v>2</v>
      </c>
      <c r="B62" s="404">
        <v>0.99967744908303402</v>
      </c>
      <c r="C62" s="413">
        <v>0.99958375728424798</v>
      </c>
      <c r="D62" s="413">
        <v>0.99943813460689501</v>
      </c>
      <c r="E62" s="413">
        <v>0.99958946922343495</v>
      </c>
      <c r="F62" s="413">
        <v>1</v>
      </c>
      <c r="G62" s="413">
        <v>1</v>
      </c>
      <c r="H62" s="402">
        <v>0.99984721161191703</v>
      </c>
      <c r="I62" s="402">
        <v>0.99983878025749096</v>
      </c>
      <c r="J62" s="402">
        <v>0.99993218959788399</v>
      </c>
      <c r="K62" s="402">
        <v>0.99980415623980001</v>
      </c>
      <c r="L62" s="402">
        <v>0.99989758925096783</v>
      </c>
      <c r="M62" s="402">
        <v>0.99988380649908981</v>
      </c>
      <c r="N62" s="1247">
        <v>0.9998909725250763</v>
      </c>
    </row>
    <row r="63" spans="1:16">
      <c r="A63" s="401">
        <v>3</v>
      </c>
      <c r="B63" s="404">
        <v>0.99944910663459197</v>
      </c>
      <c r="C63" s="413">
        <v>0.99938865963625201</v>
      </c>
      <c r="D63" s="413">
        <v>0.99921957649017501</v>
      </c>
      <c r="E63" s="413">
        <v>0.99810196657352201</v>
      </c>
      <c r="F63" s="413">
        <v>0.99996070340897902</v>
      </c>
      <c r="G63" s="413">
        <v>1</v>
      </c>
      <c r="H63" s="402">
        <v>0.999574424183023</v>
      </c>
      <c r="I63" s="402">
        <v>0.99969989871581699</v>
      </c>
      <c r="J63" s="402">
        <v>0.99969788884726496</v>
      </c>
      <c r="K63" s="402">
        <v>0.99966677774075297</v>
      </c>
      <c r="L63" s="402">
        <v>0.99971900324832241</v>
      </c>
      <c r="M63" s="402">
        <v>0.99968520461699895</v>
      </c>
      <c r="N63" s="1247">
        <v>0.99967360438675701</v>
      </c>
    </row>
    <row r="64" spans="1:16">
      <c r="A64" s="401">
        <v>4</v>
      </c>
      <c r="B64" s="404">
        <v>0.99774016057492598</v>
      </c>
      <c r="C64" s="413">
        <v>0.99880979629205802</v>
      </c>
      <c r="D64" s="413">
        <v>0.999003619206705</v>
      </c>
      <c r="E64" s="413">
        <v>0.97946932404850495</v>
      </c>
      <c r="F64" s="413">
        <v>0.97831230283911697</v>
      </c>
      <c r="G64" s="413">
        <v>1</v>
      </c>
      <c r="H64" s="402">
        <v>0.99842790751047095</v>
      </c>
      <c r="I64" s="402">
        <v>0.99694539900725498</v>
      </c>
      <c r="J64" s="402">
        <v>0.99776051188299797</v>
      </c>
      <c r="K64" s="402">
        <v>0.997699074125043</v>
      </c>
      <c r="L64" s="402">
        <v>0.99749460043196547</v>
      </c>
      <c r="M64" s="402">
        <v>0.99743144671756956</v>
      </c>
      <c r="N64" s="1247">
        <v>0.99751918252914273</v>
      </c>
    </row>
    <row r="65" spans="1:14">
      <c r="A65" s="401">
        <v>5</v>
      </c>
      <c r="B65" s="404">
        <v>0.97247694721134603</v>
      </c>
      <c r="C65" s="413">
        <v>0.98675905598243696</v>
      </c>
      <c r="D65" s="413">
        <v>0.98969965618162703</v>
      </c>
      <c r="E65" s="413">
        <v>0.94536574425935405</v>
      </c>
      <c r="F65" s="413">
        <v>0.94604379110650205</v>
      </c>
      <c r="G65" s="413">
        <v>0.98</v>
      </c>
      <c r="H65" s="402">
        <v>0.98088478082637898</v>
      </c>
      <c r="I65" s="402">
        <v>0.96892714215229403</v>
      </c>
      <c r="J65" s="402">
        <v>0.97073802617302496</v>
      </c>
      <c r="K65" s="402">
        <v>0.97432805336462203</v>
      </c>
      <c r="L65" s="402">
        <v>0.97404567375589757</v>
      </c>
      <c r="M65" s="402">
        <v>0.97470416993710818</v>
      </c>
      <c r="N65" s="1247">
        <v>0.97676043219076003</v>
      </c>
    </row>
    <row r="66" spans="1:14">
      <c r="A66" s="401">
        <v>6</v>
      </c>
      <c r="B66" s="404">
        <v>0.87840416752630501</v>
      </c>
      <c r="C66" s="413">
        <v>0.91769690062681197</v>
      </c>
      <c r="D66" s="413">
        <v>0.93078373630915501</v>
      </c>
      <c r="E66" s="413">
        <v>0.84392727432327197</v>
      </c>
      <c r="F66" s="413">
        <v>0.92025416306933605</v>
      </c>
      <c r="G66" s="413">
        <v>0.94</v>
      </c>
      <c r="H66" s="402">
        <v>0.93122848746126297</v>
      </c>
      <c r="I66" s="402">
        <v>0.89991010202374999</v>
      </c>
      <c r="J66" s="402">
        <v>0.90069925799260997</v>
      </c>
      <c r="K66" s="402">
        <v>0.91334954432138604</v>
      </c>
      <c r="L66" s="402">
        <v>0.91553502169751755</v>
      </c>
      <c r="M66" s="402">
        <v>0.91837032001165442</v>
      </c>
      <c r="N66" s="1247">
        <v>0.93280896342996888</v>
      </c>
    </row>
    <row r="67" spans="1:14">
      <c r="A67" s="401">
        <v>7</v>
      </c>
      <c r="B67" s="404">
        <v>0.83278416091229501</v>
      </c>
      <c r="C67" s="413">
        <v>0.83641383354304399</v>
      </c>
      <c r="D67" s="413">
        <v>0.846674703410358</v>
      </c>
      <c r="E67" s="413">
        <v>0.78163186466868595</v>
      </c>
      <c r="F67" s="413">
        <v>0.88668438538205996</v>
      </c>
      <c r="G67" s="413">
        <v>0.88</v>
      </c>
      <c r="H67" s="402">
        <v>0.87050022866351595</v>
      </c>
      <c r="I67" s="402">
        <v>0.85164443325782402</v>
      </c>
      <c r="J67" s="402">
        <v>0.84656896818041405</v>
      </c>
      <c r="K67" s="402">
        <v>0.85501612074202105</v>
      </c>
      <c r="L67" s="402">
        <v>0.86207381041588615</v>
      </c>
      <c r="M67" s="402">
        <v>0.86898292638149444</v>
      </c>
      <c r="N67" s="1247">
        <v>0.87660804801727454</v>
      </c>
    </row>
    <row r="68" spans="1:14">
      <c r="A68" s="401">
        <v>8</v>
      </c>
      <c r="B68" s="404">
        <v>0.80909245490099102</v>
      </c>
      <c r="C68" s="413">
        <v>0.80723053550061197</v>
      </c>
      <c r="D68" s="413">
        <v>0.79951621454449096</v>
      </c>
      <c r="E68" s="413">
        <v>0.72843737161884603</v>
      </c>
      <c r="F68" s="413">
        <v>0.83862645403660196</v>
      </c>
      <c r="G68" s="413">
        <v>0.83</v>
      </c>
      <c r="H68" s="402">
        <v>0.82277205189062697</v>
      </c>
      <c r="I68" s="402">
        <v>0.81120860171425702</v>
      </c>
      <c r="J68" s="402">
        <v>0.80709506252316598</v>
      </c>
      <c r="K68" s="402">
        <v>0.80481467260761996</v>
      </c>
      <c r="L68" s="402">
        <v>0.80751478128812637</v>
      </c>
      <c r="M68" s="402">
        <v>0.81988930456618669</v>
      </c>
      <c r="N68" s="1247">
        <v>0.83540049273178285</v>
      </c>
    </row>
    <row r="69" spans="1:14">
      <c r="A69" s="401">
        <v>9</v>
      </c>
      <c r="B69" s="404">
        <v>0.77302922556586595</v>
      </c>
      <c r="C69" s="413">
        <v>0.77734113202948896</v>
      </c>
      <c r="D69" s="413">
        <v>0.76178424959767399</v>
      </c>
      <c r="E69" s="413">
        <v>0.68173577477920799</v>
      </c>
      <c r="F69" s="413">
        <v>0.79073528090621803</v>
      </c>
      <c r="G69" s="413">
        <v>0.74</v>
      </c>
      <c r="H69" s="402">
        <v>0.77381308491090095</v>
      </c>
      <c r="I69" s="402">
        <v>0.74936782413136305</v>
      </c>
      <c r="J69" s="402">
        <v>0.75022419265454199</v>
      </c>
      <c r="K69" s="402">
        <v>0.74887966003476902</v>
      </c>
      <c r="L69" s="402">
        <v>0.74419037325135329</v>
      </c>
      <c r="M69" s="402">
        <v>0.74858563563944491</v>
      </c>
      <c r="N69" s="1247">
        <v>0.77355327112300376</v>
      </c>
    </row>
    <row r="70" spans="1:14">
      <c r="A70" s="401">
        <v>10</v>
      </c>
      <c r="B70" s="404">
        <v>0.71385938734310495</v>
      </c>
      <c r="C70" s="413">
        <v>0.73589583550053705</v>
      </c>
      <c r="D70" s="413">
        <v>0.71362001183952894</v>
      </c>
      <c r="E70" s="413">
        <v>0.62715464918669594</v>
      </c>
      <c r="F70" s="413">
        <v>0.73697964761939905</v>
      </c>
      <c r="G70" s="413">
        <v>0.67</v>
      </c>
      <c r="H70" s="402">
        <v>0.68091272033606798</v>
      </c>
      <c r="I70" s="402">
        <v>0.69426737990753495</v>
      </c>
      <c r="J70" s="402">
        <v>0.68295017097141897</v>
      </c>
      <c r="K70" s="402">
        <v>0.68940210004933</v>
      </c>
      <c r="L70" s="402">
        <v>0.68522111848011813</v>
      </c>
      <c r="M70" s="402">
        <v>0.68153594047566324</v>
      </c>
      <c r="N70" s="1247">
        <v>0.7009352116487122</v>
      </c>
    </row>
    <row r="71" spans="1:14">
      <c r="A71" s="401">
        <v>11</v>
      </c>
      <c r="B71" s="404">
        <v>0.61670305887808896</v>
      </c>
      <c r="C71" s="413">
        <v>0.66711133734707095</v>
      </c>
      <c r="D71" s="413">
        <v>0.66774707941900402</v>
      </c>
      <c r="E71" s="413">
        <v>0.58008215331819701</v>
      </c>
      <c r="F71" s="413">
        <v>0.67325434052864397</v>
      </c>
      <c r="G71" s="413">
        <v>0.61</v>
      </c>
      <c r="H71" s="402">
        <v>0.60326775524270004</v>
      </c>
      <c r="I71" s="402">
        <v>0.60128627418278902</v>
      </c>
      <c r="J71" s="402">
        <v>0.62769716964009303</v>
      </c>
      <c r="K71" s="402">
        <v>0.61899693597806804</v>
      </c>
      <c r="L71" s="402">
        <v>0.62159495862610481</v>
      </c>
      <c r="M71" s="402">
        <v>0.62086342047341392</v>
      </c>
      <c r="N71" s="1247">
        <v>0.63004889455782309</v>
      </c>
    </row>
    <row r="72" spans="1:14">
      <c r="A72" s="401">
        <v>12</v>
      </c>
      <c r="B72" s="404">
        <v>0.56618938861560097</v>
      </c>
      <c r="C72" s="413">
        <v>0.58009352295563499</v>
      </c>
      <c r="D72" s="413">
        <v>0.60235190873190003</v>
      </c>
      <c r="E72" s="413">
        <v>0.51781389308154002</v>
      </c>
      <c r="F72" s="413">
        <v>0.61746180560140496</v>
      </c>
      <c r="G72" s="413">
        <v>0.55000000000000004</v>
      </c>
      <c r="H72" s="402">
        <v>0.54119706514809296</v>
      </c>
      <c r="I72" s="402">
        <v>0.52238427779410701</v>
      </c>
      <c r="J72" s="402">
        <v>0.54036024016010697</v>
      </c>
      <c r="K72" s="402">
        <v>0.56692930198791402</v>
      </c>
      <c r="L72" s="402">
        <v>0.55979143148954469</v>
      </c>
      <c r="M72" s="402">
        <v>0.56134611125651812</v>
      </c>
      <c r="N72" s="1247">
        <v>0.5718809128470479</v>
      </c>
    </row>
    <row r="73" spans="1:14">
      <c r="A73" s="401">
        <v>13</v>
      </c>
      <c r="B73" s="404">
        <v>0.515229224628039</v>
      </c>
      <c r="C73" s="413">
        <v>0.52652846099789197</v>
      </c>
      <c r="D73" s="413">
        <v>0.51624995169455501</v>
      </c>
      <c r="E73" s="413">
        <v>0.43713650854989899</v>
      </c>
      <c r="F73" s="413">
        <v>0.56962853002509495</v>
      </c>
      <c r="G73" s="413">
        <v>0.5</v>
      </c>
      <c r="H73" s="402">
        <v>0.49051522096621702</v>
      </c>
      <c r="I73" s="402">
        <v>0.45918201955805299</v>
      </c>
      <c r="J73" s="402">
        <v>0.46301044971265798</v>
      </c>
      <c r="K73" s="402">
        <v>0.48020555370246798</v>
      </c>
      <c r="L73" s="402">
        <v>0.50712104712489059</v>
      </c>
      <c r="M73" s="402">
        <v>0.50184378863624146</v>
      </c>
      <c r="N73" s="1247">
        <v>0.51655962471561734</v>
      </c>
    </row>
    <row r="74" spans="1:14">
      <c r="A74" s="401">
        <v>14</v>
      </c>
      <c r="B74" s="404">
        <v>0.38328559738134199</v>
      </c>
      <c r="C74" s="413">
        <v>0.47566286046061501</v>
      </c>
      <c r="D74" s="413">
        <v>0.45433584400184501</v>
      </c>
      <c r="E74" s="413">
        <v>0.381071585419411</v>
      </c>
      <c r="F74" s="413">
        <v>0.51759348034515795</v>
      </c>
      <c r="G74" s="413">
        <v>0.46</v>
      </c>
      <c r="H74" s="402">
        <v>0.44726500265533697</v>
      </c>
      <c r="I74" s="402">
        <v>0.40831811884136798</v>
      </c>
      <c r="J74" s="402">
        <v>0.396931222648441</v>
      </c>
      <c r="K74" s="402">
        <v>0.41053890516201602</v>
      </c>
      <c r="L74" s="402">
        <v>0.42702426617745165</v>
      </c>
      <c r="M74" s="402">
        <v>0.4521384493839814</v>
      </c>
      <c r="N74" s="1247">
        <v>0.46051712089447938</v>
      </c>
    </row>
    <row r="75" spans="1:14">
      <c r="A75" s="401">
        <v>15</v>
      </c>
      <c r="B75" s="404">
        <v>0.30401711433325401</v>
      </c>
      <c r="C75" s="413">
        <v>0.352140913647429</v>
      </c>
      <c r="D75" s="413">
        <v>0.41864234565511899</v>
      </c>
      <c r="E75" s="413">
        <v>0.34996129281981803</v>
      </c>
      <c r="F75" s="413">
        <v>0.46650415033789</v>
      </c>
      <c r="G75" s="413">
        <v>0.41</v>
      </c>
      <c r="H75" s="402">
        <v>0.40781309577454999</v>
      </c>
      <c r="I75" s="402">
        <v>0.37344662772172099</v>
      </c>
      <c r="J75" s="402">
        <v>0.353597741780937</v>
      </c>
      <c r="K75" s="402">
        <v>0.35081311794262199</v>
      </c>
      <c r="L75" s="402">
        <v>0.36362162107375612</v>
      </c>
      <c r="M75" s="402">
        <v>0.38000333555703802</v>
      </c>
      <c r="N75" s="1247">
        <v>0.41469690175730789</v>
      </c>
    </row>
    <row r="76" spans="1:14">
      <c r="A76" s="401">
        <v>16</v>
      </c>
      <c r="B76" s="404">
        <v>0.28223156285823497</v>
      </c>
      <c r="C76" s="413">
        <v>0.27879940359141703</v>
      </c>
      <c r="D76" s="413">
        <v>0.306969988339027</v>
      </c>
      <c r="E76" s="413">
        <v>0.25494568441725801</v>
      </c>
      <c r="F76" s="413">
        <v>0.437907991811194</v>
      </c>
      <c r="G76" s="413">
        <v>0.35</v>
      </c>
      <c r="H76" s="402">
        <v>0.36139969114137299</v>
      </c>
      <c r="I76" s="402">
        <v>0.34125966237997901</v>
      </c>
      <c r="J76" s="402">
        <v>0.32445186252939801</v>
      </c>
      <c r="K76" s="402">
        <v>0.31402304803832698</v>
      </c>
      <c r="L76" s="402">
        <v>0.3088011237776217</v>
      </c>
      <c r="M76" s="402">
        <v>0.32237008807759748</v>
      </c>
      <c r="N76" s="1247">
        <v>0.34723148765843898</v>
      </c>
    </row>
    <row r="77" spans="1:14">
      <c r="A77" s="401">
        <v>17</v>
      </c>
      <c r="B77" s="404">
        <v>0.28379538076937399</v>
      </c>
      <c r="C77" s="413">
        <v>0.25423512928289399</v>
      </c>
      <c r="D77" s="413">
        <v>0.24217213734684601</v>
      </c>
      <c r="E77" s="413">
        <v>0.200877325669339</v>
      </c>
      <c r="F77" s="413">
        <v>0.39616063358154402</v>
      </c>
      <c r="G77" s="413">
        <v>0.3</v>
      </c>
      <c r="H77" s="402">
        <v>0.30231659485673401</v>
      </c>
      <c r="I77" s="402">
        <v>0.299996490242875</v>
      </c>
      <c r="J77" s="402">
        <v>0.29659606918783998</v>
      </c>
      <c r="K77" s="402">
        <v>0.287201274561869</v>
      </c>
      <c r="L77" s="402">
        <v>0.27678363330312056</v>
      </c>
      <c r="M77" s="402">
        <v>0.26980387919390569</v>
      </c>
      <c r="N77" s="1247">
        <v>0.29532854261475933</v>
      </c>
    </row>
    <row r="78" spans="1:14">
      <c r="A78" s="401">
        <v>18</v>
      </c>
      <c r="B78" s="404">
        <v>0.24966318234610901</v>
      </c>
      <c r="C78" s="413">
        <v>0.25353531584642403</v>
      </c>
      <c r="D78" s="413">
        <v>0.21510635587823199</v>
      </c>
      <c r="E78" s="413">
        <v>0.17098458795058</v>
      </c>
      <c r="F78" s="413">
        <v>0.36492890995260702</v>
      </c>
      <c r="G78" s="413">
        <v>0.26</v>
      </c>
      <c r="H78" s="402">
        <v>0.25468279935879101</v>
      </c>
      <c r="I78" s="402">
        <v>0.24978263809726201</v>
      </c>
      <c r="J78" s="402">
        <v>0.259932612663204</v>
      </c>
      <c r="K78" s="402">
        <v>0.25409892890568098</v>
      </c>
      <c r="L78" s="402">
        <v>0.24768985661178969</v>
      </c>
      <c r="M78" s="402">
        <v>0.23819759160947818</v>
      </c>
      <c r="N78" s="1247">
        <v>0.24428116051650547</v>
      </c>
    </row>
    <row r="79" spans="1:14">
      <c r="A79" s="401">
        <v>19</v>
      </c>
      <c r="B79" s="404">
        <v>0.210014058613604</v>
      </c>
      <c r="C79" s="413">
        <v>0.216957026713124</v>
      </c>
      <c r="D79" s="413">
        <v>0.21368605649042899</v>
      </c>
      <c r="E79" s="413">
        <v>0.15118838849296701</v>
      </c>
      <c r="F79" s="413">
        <v>0.3189111747851</v>
      </c>
      <c r="G79" s="413">
        <v>0.17</v>
      </c>
      <c r="H79" s="402">
        <v>0.212236307335011</v>
      </c>
      <c r="I79" s="402">
        <v>0.19519532708228099</v>
      </c>
      <c r="J79" s="402">
        <v>0.20200166161099001</v>
      </c>
      <c r="K79" s="402">
        <v>0.20932191492348701</v>
      </c>
      <c r="L79" s="402">
        <v>0.20508509827030399</v>
      </c>
      <c r="M79" s="402">
        <v>0.19256505576208177</v>
      </c>
      <c r="N79" s="1247">
        <v>0.2008416418490224</v>
      </c>
    </row>
    <row r="80" spans="1:14">
      <c r="A80" s="398">
        <v>20</v>
      </c>
      <c r="B80" s="399">
        <v>0.17141986593540501</v>
      </c>
      <c r="C80" s="399">
        <v>0.17924732345625599</v>
      </c>
      <c r="D80" s="399">
        <v>0.169477351916376</v>
      </c>
      <c r="E80" s="399">
        <v>2.53193960511034E-2</v>
      </c>
      <c r="F80" s="399">
        <v>0.27968206656731198</v>
      </c>
      <c r="G80" s="399">
        <v>0.12</v>
      </c>
      <c r="H80" s="399">
        <v>0.12609700713949601</v>
      </c>
      <c r="I80" s="399">
        <v>0.14304722275982201</v>
      </c>
      <c r="J80" s="399">
        <v>0.14049496036364401</v>
      </c>
      <c r="K80" s="399">
        <v>0.15029851034642699</v>
      </c>
      <c r="L80" s="399">
        <v>0.15263933735785484</v>
      </c>
      <c r="M80" s="399">
        <v>0.1421193108946584</v>
      </c>
      <c r="N80" s="1245">
        <v>0.14695394886579166</v>
      </c>
    </row>
    <row r="81" spans="1:14">
      <c r="A81" s="133"/>
      <c r="B81" s="133"/>
      <c r="C81" s="133"/>
      <c r="D81" s="9"/>
      <c r="E81" s="9"/>
      <c r="F81" s="39"/>
      <c r="G81" s="39"/>
      <c r="H81" s="9"/>
      <c r="I81" s="9"/>
      <c r="J81" s="9"/>
      <c r="K81" s="9"/>
      <c r="L81" s="9"/>
      <c r="M81" s="9"/>
    </row>
    <row r="82" spans="1:14">
      <c r="A82" s="133"/>
      <c r="B82" s="133"/>
      <c r="C82" s="133"/>
      <c r="D82" s="9"/>
      <c r="E82" s="9"/>
      <c r="F82" s="39"/>
      <c r="G82" s="39"/>
      <c r="H82" s="9"/>
      <c r="I82" s="9"/>
      <c r="J82" s="9"/>
      <c r="K82" s="9"/>
      <c r="L82" s="9"/>
      <c r="M82" s="9"/>
    </row>
    <row r="83" spans="1:14">
      <c r="A83" s="9"/>
      <c r="B83" s="9"/>
      <c r="C83" s="9"/>
      <c r="D83" s="9"/>
      <c r="E83" s="9"/>
      <c r="F83" s="39"/>
      <c r="G83" s="39"/>
      <c r="H83" s="9"/>
      <c r="I83" s="9"/>
      <c r="J83" s="9"/>
      <c r="K83" s="9"/>
      <c r="L83" s="9"/>
      <c r="M83" s="9"/>
    </row>
    <row r="84" spans="1:14" ht="18">
      <c r="A84" s="389"/>
      <c r="B84" s="389"/>
      <c r="C84" s="389"/>
      <c r="D84" s="9"/>
      <c r="E84" s="9"/>
      <c r="F84" s="39"/>
      <c r="G84" s="39"/>
      <c r="H84" s="9"/>
      <c r="I84" s="9"/>
      <c r="J84" s="9"/>
      <c r="K84" s="9"/>
      <c r="L84" s="9"/>
      <c r="M84" s="9"/>
    </row>
    <row r="85" spans="1:14" ht="18">
      <c r="A85" s="386" t="s">
        <v>43</v>
      </c>
      <c r="B85" s="389"/>
      <c r="C85" s="389"/>
      <c r="D85" s="9"/>
      <c r="E85" s="9"/>
      <c r="F85" s="39"/>
      <c r="G85" s="39"/>
      <c r="H85" s="9"/>
      <c r="I85" s="9"/>
      <c r="J85" s="9"/>
      <c r="K85" s="9"/>
      <c r="L85" s="9"/>
      <c r="M85" s="9"/>
    </row>
    <row r="86" spans="1:14">
      <c r="A86" s="392" t="s">
        <v>106</v>
      </c>
      <c r="B86" s="393">
        <v>2010</v>
      </c>
      <c r="C86" s="394">
        <v>2011</v>
      </c>
      <c r="D86" s="394">
        <v>2012</v>
      </c>
      <c r="E86" s="394">
        <v>2013</v>
      </c>
      <c r="F86" s="394">
        <v>2014</v>
      </c>
      <c r="G86" s="394">
        <v>2015</v>
      </c>
      <c r="H86" s="394">
        <v>2016</v>
      </c>
      <c r="I86" s="394">
        <v>2017</v>
      </c>
      <c r="J86" s="394">
        <v>2018</v>
      </c>
      <c r="K86" s="394">
        <v>2019</v>
      </c>
      <c r="L86" s="394">
        <v>2020</v>
      </c>
      <c r="M86" s="394">
        <v>2021</v>
      </c>
      <c r="N86" s="394">
        <v>2022</v>
      </c>
    </row>
    <row r="87" spans="1:14">
      <c r="A87" s="395">
        <v>1</v>
      </c>
      <c r="B87" s="414"/>
      <c r="C87" s="396">
        <v>1</v>
      </c>
      <c r="D87" s="397">
        <v>1</v>
      </c>
      <c r="E87" s="396">
        <v>1</v>
      </c>
      <c r="F87" s="396">
        <v>0.99988728584310205</v>
      </c>
      <c r="G87" s="397">
        <v>1</v>
      </c>
      <c r="H87" s="396">
        <v>1</v>
      </c>
      <c r="I87" s="396">
        <v>1</v>
      </c>
      <c r="J87" s="396">
        <v>1</v>
      </c>
      <c r="K87" s="396">
        <v>1</v>
      </c>
      <c r="L87" s="396">
        <v>1</v>
      </c>
      <c r="M87" s="396">
        <v>0.99980803685692299</v>
      </c>
      <c r="N87" s="1246">
        <v>0.99985964173552999</v>
      </c>
    </row>
    <row r="88" spans="1:14">
      <c r="A88" s="401">
        <v>2</v>
      </c>
      <c r="B88" s="417"/>
      <c r="C88" s="402">
        <v>0.99959966882998597</v>
      </c>
      <c r="D88" s="403">
        <v>0.97029992517578001</v>
      </c>
      <c r="E88" s="402">
        <v>1</v>
      </c>
      <c r="F88" s="402">
        <v>0.99979850896635103</v>
      </c>
      <c r="G88" s="403">
        <v>1</v>
      </c>
      <c r="H88" s="402">
        <v>1</v>
      </c>
      <c r="I88" s="402">
        <v>1</v>
      </c>
      <c r="J88" s="402">
        <v>1</v>
      </c>
      <c r="K88" s="402">
        <v>0.99992277395937901</v>
      </c>
      <c r="L88" s="402">
        <v>1.00002347610719</v>
      </c>
      <c r="M88" s="402">
        <v>0.99975569037827305</v>
      </c>
      <c r="N88" s="1247">
        <v>0.99957269953117878</v>
      </c>
    </row>
    <row r="89" spans="1:14">
      <c r="A89" s="401">
        <v>3</v>
      </c>
      <c r="B89" s="417"/>
      <c r="C89" s="402">
        <v>0.972939621737265</v>
      </c>
      <c r="D89" s="403">
        <v>0.88451138641854699</v>
      </c>
      <c r="E89" s="402">
        <v>0.99995490213763905</v>
      </c>
      <c r="F89" s="402">
        <v>0.99967251108424005</v>
      </c>
      <c r="G89" s="403">
        <v>0.99982843040213298</v>
      </c>
      <c r="H89" s="402">
        <v>0.99970679207533697</v>
      </c>
      <c r="I89" s="402">
        <v>0.999391623739183</v>
      </c>
      <c r="J89" s="402">
        <v>0.999391623739183</v>
      </c>
      <c r="K89" s="402">
        <v>0.998176887343316</v>
      </c>
      <c r="L89" s="402">
        <v>0.99888147086581103</v>
      </c>
      <c r="M89" s="402">
        <v>0.99872821986707405</v>
      </c>
      <c r="N89" s="1247">
        <v>0.99694045847458079</v>
      </c>
    </row>
    <row r="90" spans="1:14">
      <c r="A90" s="401">
        <v>4</v>
      </c>
      <c r="B90" s="417"/>
      <c r="C90" s="402">
        <v>0.89365683152945197</v>
      </c>
      <c r="D90" s="403">
        <v>0.77024052274142196</v>
      </c>
      <c r="E90" s="402">
        <v>0.97996433531660998</v>
      </c>
      <c r="F90" s="402">
        <v>0.99628088196227704</v>
      </c>
      <c r="G90" s="403">
        <v>0.98242888321680899</v>
      </c>
      <c r="H90" s="402">
        <v>0.98326113778139901</v>
      </c>
      <c r="I90" s="402">
        <v>0.98397839284661803</v>
      </c>
      <c r="J90" s="402">
        <v>0.98397839284661803</v>
      </c>
      <c r="K90" s="402">
        <v>0.98532067912383803</v>
      </c>
      <c r="L90" s="402">
        <v>0.98917544545908298</v>
      </c>
      <c r="M90" s="402">
        <v>0.99126951849909595</v>
      </c>
      <c r="N90" s="1247">
        <v>0.98525580490397524</v>
      </c>
    </row>
    <row r="91" spans="1:14">
      <c r="A91" s="401">
        <v>5</v>
      </c>
      <c r="B91" s="417"/>
      <c r="C91" s="402">
        <v>0.78103319878953603</v>
      </c>
      <c r="D91" s="403">
        <v>0.63902854172735402</v>
      </c>
      <c r="E91" s="402">
        <v>0.95932914353600296</v>
      </c>
      <c r="F91" s="402">
        <v>0.97499076797697704</v>
      </c>
      <c r="G91" s="403">
        <v>0.95033891969977102</v>
      </c>
      <c r="H91" s="402">
        <v>0.95143926442729798</v>
      </c>
      <c r="I91" s="402">
        <v>0.94586270680391304</v>
      </c>
      <c r="J91" s="402">
        <v>0.94586270680391304</v>
      </c>
      <c r="K91" s="402">
        <v>0.95448172298815603</v>
      </c>
      <c r="L91" s="402">
        <v>0.96034504233655804</v>
      </c>
      <c r="M91" s="402">
        <v>0.97228638594929495</v>
      </c>
      <c r="N91" s="1247">
        <v>0.96794757895010552</v>
      </c>
    </row>
    <row r="92" spans="1:14">
      <c r="A92" s="401">
        <v>6</v>
      </c>
      <c r="B92" s="417"/>
      <c r="C92" s="402">
        <v>0.65141916682330803</v>
      </c>
      <c r="D92" s="403">
        <v>0.51141040799191195</v>
      </c>
      <c r="E92" s="402">
        <v>0.93964604767348303</v>
      </c>
      <c r="F92" s="402">
        <v>0.93558660624370604</v>
      </c>
      <c r="G92" s="403">
        <v>0.90841837278169502</v>
      </c>
      <c r="H92" s="402">
        <v>0.91231288617109396</v>
      </c>
      <c r="I92" s="402">
        <v>0.92022864011035899</v>
      </c>
      <c r="J92" s="402">
        <v>0.92022864011035899</v>
      </c>
      <c r="K92" s="402">
        <v>0.91542951822584795</v>
      </c>
      <c r="L92" s="402">
        <v>0.92942128040153404</v>
      </c>
      <c r="M92" s="402">
        <v>0.93775950911628603</v>
      </c>
      <c r="N92" s="1247">
        <v>0.94748834871921961</v>
      </c>
    </row>
    <row r="93" spans="1:14">
      <c r="A93" s="401">
        <v>7</v>
      </c>
      <c r="B93" s="417"/>
      <c r="C93" s="402">
        <v>0.51414144747698098</v>
      </c>
      <c r="D93" s="403">
        <v>0.39165966974531202</v>
      </c>
      <c r="E93" s="402">
        <v>0.90102309899236699</v>
      </c>
      <c r="F93" s="402">
        <v>0.86574260617293897</v>
      </c>
      <c r="G93" s="403">
        <v>0.86814376695502304</v>
      </c>
      <c r="H93" s="402">
        <v>0.85281276659808303</v>
      </c>
      <c r="I93" s="402">
        <v>0.87246096055153799</v>
      </c>
      <c r="J93" s="402">
        <v>0.87246096055153799</v>
      </c>
      <c r="K93" s="402">
        <v>0.87132594999384405</v>
      </c>
      <c r="L93" s="402">
        <v>0.88106750999427497</v>
      </c>
      <c r="M93" s="402">
        <v>0.89882428519468505</v>
      </c>
      <c r="N93" s="1247">
        <v>0.90572156786370528</v>
      </c>
    </row>
    <row r="94" spans="1:14">
      <c r="A94" s="401">
        <v>8</v>
      </c>
      <c r="B94" s="417"/>
      <c r="C94" s="402">
        <v>0.38761670944996801</v>
      </c>
      <c r="D94" s="403">
        <v>0.29076806205269701</v>
      </c>
      <c r="E94" s="402">
        <v>0.84779244424214795</v>
      </c>
      <c r="F94" s="402">
        <v>0.78286440446558903</v>
      </c>
      <c r="G94" s="403">
        <v>0.82251416127652399</v>
      </c>
      <c r="H94" s="402">
        <v>0.801485709728322</v>
      </c>
      <c r="I94" s="402">
        <v>0.80421752397558899</v>
      </c>
      <c r="J94" s="402">
        <v>0.80421752397558899</v>
      </c>
      <c r="K94" s="402">
        <v>0.83544555099915396</v>
      </c>
      <c r="L94" s="402">
        <v>0.829046292611752</v>
      </c>
      <c r="M94" s="402">
        <v>0.842306107634052</v>
      </c>
      <c r="N94" s="1247">
        <v>0.85757829532801233</v>
      </c>
    </row>
    <row r="95" spans="1:14">
      <c r="A95" s="401">
        <v>9</v>
      </c>
      <c r="B95" s="417"/>
      <c r="C95" s="402">
        <v>0.285493519370146</v>
      </c>
      <c r="D95" s="403">
        <v>0.21179823734699599</v>
      </c>
      <c r="E95" s="402">
        <v>0.79084529327451103</v>
      </c>
      <c r="F95" s="402">
        <v>0.71619648325795504</v>
      </c>
      <c r="G95" s="403">
        <v>0.78389012620638499</v>
      </c>
      <c r="H95" s="402">
        <v>0.76559623644917196</v>
      </c>
      <c r="I95" s="402">
        <v>0.75521488661818104</v>
      </c>
      <c r="J95" s="402">
        <v>0.75521488661818104</v>
      </c>
      <c r="K95" s="402">
        <v>0.78241954375592604</v>
      </c>
      <c r="L95" s="402">
        <v>0.79819927077907604</v>
      </c>
      <c r="M95" s="402">
        <v>0.79251905176278203</v>
      </c>
      <c r="N95" s="1247">
        <v>0.80310281741675815</v>
      </c>
    </row>
    <row r="96" spans="1:14">
      <c r="A96" s="401">
        <v>10</v>
      </c>
      <c r="B96" s="417"/>
      <c r="C96" s="402">
        <v>0.204056976165229</v>
      </c>
      <c r="D96" s="403">
        <v>0.14994659492680401</v>
      </c>
      <c r="E96" s="402">
        <v>0.73668513471247898</v>
      </c>
      <c r="F96" s="402">
        <v>0.66517895737874999</v>
      </c>
      <c r="G96" s="403">
        <v>0.73926385322286303</v>
      </c>
      <c r="H96" s="402">
        <v>0.72925141045539099</v>
      </c>
      <c r="I96" s="402">
        <v>0.71802054154995298</v>
      </c>
      <c r="J96" s="402">
        <v>0.71802054154995298</v>
      </c>
      <c r="K96" s="402">
        <v>0.710009290499242</v>
      </c>
      <c r="L96" s="402">
        <v>0.74259099767023695</v>
      </c>
      <c r="M96" s="402">
        <v>0.75943665239287395</v>
      </c>
      <c r="N96" s="1247">
        <v>0.75277340475020305</v>
      </c>
    </row>
    <row r="97" spans="1:14">
      <c r="A97" s="401">
        <v>11</v>
      </c>
      <c r="B97" s="417"/>
      <c r="C97" s="402">
        <v>0.14693588818276901</v>
      </c>
      <c r="D97" s="403">
        <v>0.10736190361955</v>
      </c>
      <c r="E97" s="402">
        <v>0.67142743686133299</v>
      </c>
      <c r="F97" s="402">
        <v>0.60715303136249499</v>
      </c>
      <c r="G97" s="403">
        <v>0.67489983588671598</v>
      </c>
      <c r="H97" s="402">
        <v>0.67049055392884405</v>
      </c>
      <c r="I97" s="402">
        <v>0.66281719657944305</v>
      </c>
      <c r="J97" s="402">
        <v>0.66281719657944305</v>
      </c>
      <c r="K97" s="402">
        <v>0.64795918367346905</v>
      </c>
      <c r="L97" s="402">
        <v>0.66017114210261696</v>
      </c>
      <c r="M97" s="402">
        <v>0.69310310686917098</v>
      </c>
      <c r="N97" s="1247">
        <v>0.71121694584955963</v>
      </c>
    </row>
    <row r="98" spans="1:14">
      <c r="A98" s="401">
        <v>12</v>
      </c>
      <c r="B98" s="417"/>
      <c r="C98" s="402">
        <v>0.107996148785447</v>
      </c>
      <c r="D98" s="403">
        <v>7.8443199278031894E-2</v>
      </c>
      <c r="E98" s="402">
        <v>0.61735714159307697</v>
      </c>
      <c r="F98" s="402">
        <v>0.55464008254430697</v>
      </c>
      <c r="G98" s="403">
        <v>0.61918675432188897</v>
      </c>
      <c r="H98" s="402">
        <v>0.61534949550289897</v>
      </c>
      <c r="I98" s="402">
        <v>0.61702400102438504</v>
      </c>
      <c r="J98" s="402">
        <v>0.61702400102438504</v>
      </c>
      <c r="K98" s="402">
        <v>0.60125755194030395</v>
      </c>
      <c r="L98" s="402">
        <v>0.595294498888156</v>
      </c>
      <c r="M98" s="402">
        <v>0.61573344906109395</v>
      </c>
      <c r="N98" s="1247">
        <v>0.64941096421479039</v>
      </c>
    </row>
    <row r="99" spans="1:14">
      <c r="A99" s="401">
        <v>13</v>
      </c>
      <c r="B99" s="417"/>
      <c r="C99" s="402">
        <v>8.0267117027275597E-2</v>
      </c>
      <c r="D99" s="403">
        <v>5.7926512334572799E-2</v>
      </c>
      <c r="E99" s="402">
        <v>0.56861427714457102</v>
      </c>
      <c r="F99" s="402">
        <v>0.50846664471289704</v>
      </c>
      <c r="G99" s="403">
        <v>0.56929766767690104</v>
      </c>
      <c r="H99" s="402">
        <v>0.56707868888643598</v>
      </c>
      <c r="I99" s="402">
        <v>0.56715968777356296</v>
      </c>
      <c r="J99" s="402">
        <v>0.56715968777356296</v>
      </c>
      <c r="K99" s="402">
        <v>0.55802072690118198</v>
      </c>
      <c r="L99" s="402">
        <v>0.54273242794875498</v>
      </c>
      <c r="M99" s="402">
        <v>0.55082351627491499</v>
      </c>
      <c r="N99" s="1247">
        <v>0.57093078223916016</v>
      </c>
    </row>
    <row r="100" spans="1:14">
      <c r="A100" s="401">
        <v>14</v>
      </c>
      <c r="B100" s="417"/>
      <c r="C100" s="402">
        <v>5.9332236129385901E-2</v>
      </c>
      <c r="D100" s="403">
        <v>4.2566413635143401E-2</v>
      </c>
      <c r="E100" s="402">
        <v>0.51345928258319395</v>
      </c>
      <c r="F100" s="402">
        <v>0.45172782955123802</v>
      </c>
      <c r="G100" s="403">
        <v>0.51999929393490096</v>
      </c>
      <c r="H100" s="402">
        <v>0.51541467650890105</v>
      </c>
      <c r="I100" s="402">
        <v>0.51531517629812496</v>
      </c>
      <c r="J100" s="402">
        <v>0.51531517629812496</v>
      </c>
      <c r="K100" s="402">
        <v>0.51511308897183095</v>
      </c>
      <c r="L100" s="402">
        <v>0.499128443377993</v>
      </c>
      <c r="M100" s="402">
        <v>0.49477413417048</v>
      </c>
      <c r="N100" s="1247">
        <v>0.50878917837709559</v>
      </c>
    </row>
    <row r="101" spans="1:14">
      <c r="A101" s="401">
        <v>15</v>
      </c>
      <c r="B101" s="417"/>
      <c r="C101" s="402">
        <v>4.2297355661959801E-2</v>
      </c>
      <c r="D101" s="403">
        <v>2.99296880801019E-2</v>
      </c>
      <c r="E101" s="402">
        <v>0.48307573415765098</v>
      </c>
      <c r="F101" s="402">
        <v>0.38150166164309501</v>
      </c>
      <c r="G101" s="403">
        <v>0.46889745862176302</v>
      </c>
      <c r="H101" s="402">
        <v>0.47108006561888099</v>
      </c>
      <c r="I101" s="402">
        <v>0.46692965154503602</v>
      </c>
      <c r="J101" s="402">
        <v>0.46692965154503602</v>
      </c>
      <c r="K101" s="402">
        <v>0.46609498320452197</v>
      </c>
      <c r="L101" s="402">
        <v>0.461887339885379</v>
      </c>
      <c r="M101" s="402">
        <v>0.45196920429856702</v>
      </c>
      <c r="N101" s="1247">
        <v>0.46469649903450594</v>
      </c>
    </row>
    <row r="102" spans="1:14">
      <c r="A102" s="401">
        <v>16</v>
      </c>
      <c r="B102" s="417"/>
      <c r="C102" s="402">
        <v>2.8129362928185801E-2</v>
      </c>
      <c r="D102" s="403">
        <v>1.9464578442628101E-2</v>
      </c>
      <c r="E102" s="402">
        <v>0.44323905462998803</v>
      </c>
      <c r="F102" s="402">
        <v>0.32816548816373098</v>
      </c>
      <c r="G102" s="403">
        <v>0.42105587763661001</v>
      </c>
      <c r="H102" s="402">
        <v>0.42195092758827102</v>
      </c>
      <c r="I102" s="402">
        <v>0.42366486238693901</v>
      </c>
      <c r="J102" s="402">
        <v>0.42366486238693901</v>
      </c>
      <c r="K102" s="402">
        <v>0.41768500781645601</v>
      </c>
      <c r="L102" s="402">
        <v>0.42110053333818698</v>
      </c>
      <c r="M102" s="402">
        <v>0.48758997501212098</v>
      </c>
      <c r="N102" s="1247">
        <v>0.42096827100852868</v>
      </c>
    </row>
    <row r="103" spans="1:14">
      <c r="A103" s="401">
        <v>17</v>
      </c>
      <c r="B103" s="417"/>
      <c r="C103" s="402">
        <v>1.7360597942670902E-2</v>
      </c>
      <c r="D103" s="403">
        <v>1.16177453349098E-2</v>
      </c>
      <c r="E103" s="402">
        <v>0.40590994825168097</v>
      </c>
      <c r="F103" s="402">
        <v>0.29528740081285099</v>
      </c>
      <c r="G103" s="403">
        <v>0.38730109686389602</v>
      </c>
      <c r="H103" s="402">
        <v>0.37600961834884999</v>
      </c>
      <c r="I103" s="402">
        <v>0.37406973126899401</v>
      </c>
      <c r="J103" s="402">
        <v>0.37406973126899401</v>
      </c>
      <c r="K103" s="402">
        <v>0.36777787997845002</v>
      </c>
      <c r="L103" s="402">
        <v>0.38484314804622999</v>
      </c>
      <c r="M103" s="402">
        <v>0.33014839927079698</v>
      </c>
      <c r="N103" s="1247">
        <v>0.38355003056857551</v>
      </c>
    </row>
    <row r="104" spans="1:14">
      <c r="A104" s="401">
        <v>18</v>
      </c>
      <c r="B104" s="417"/>
      <c r="C104" s="402">
        <v>9.4587206908080205E-3</v>
      </c>
      <c r="D104" s="403">
        <v>5.8294350485786298E-3</v>
      </c>
      <c r="E104" s="402">
        <v>0.35958727429062798</v>
      </c>
      <c r="F104" s="402">
        <v>0.20880469692940301</v>
      </c>
      <c r="G104" s="403">
        <v>0.34899935442220797</v>
      </c>
      <c r="H104" s="402">
        <v>0.34308880308880302</v>
      </c>
      <c r="I104" s="402">
        <v>0.33092882024723302</v>
      </c>
      <c r="J104" s="402">
        <v>0.33092882024723302</v>
      </c>
      <c r="K104" s="402">
        <v>0.335048548821964</v>
      </c>
      <c r="L104" s="402">
        <v>0.34402922316829598</v>
      </c>
      <c r="M104" s="402">
        <v>0.35315248502265401</v>
      </c>
      <c r="N104" s="1247">
        <v>0.33822785275960732</v>
      </c>
    </row>
    <row r="105" spans="1:14">
      <c r="A105" s="401">
        <v>19</v>
      </c>
      <c r="B105" s="417"/>
      <c r="C105" s="402">
        <v>3.9631350952687699E-3</v>
      </c>
      <c r="D105" s="403">
        <v>1.8928814178904099E-3</v>
      </c>
      <c r="E105" s="402">
        <v>0.32460435739124299</v>
      </c>
      <c r="F105" s="402">
        <v>0.154028999286903</v>
      </c>
      <c r="G105" s="403">
        <v>0.31752018956429201</v>
      </c>
      <c r="H105" s="402">
        <v>0.30253872633390699</v>
      </c>
      <c r="I105" s="402">
        <v>0.30112342199745201</v>
      </c>
      <c r="J105" s="402">
        <v>0.30112342199745201</v>
      </c>
      <c r="K105" s="402">
        <v>0.28475046652949898</v>
      </c>
      <c r="L105" s="402">
        <v>0.31933039647577099</v>
      </c>
      <c r="M105" s="402">
        <v>0.32797314531142402</v>
      </c>
      <c r="N105" s="1247">
        <v>0.29585987261146496</v>
      </c>
    </row>
    <row r="106" spans="1:14">
      <c r="A106" s="398">
        <v>20</v>
      </c>
      <c r="B106" s="415"/>
      <c r="C106" s="416">
        <v>1.35739529331074E-3</v>
      </c>
      <c r="D106" s="416">
        <v>8.4534233508684706E-5</v>
      </c>
      <c r="E106" s="416">
        <v>0.26851607221488299</v>
      </c>
      <c r="F106" s="416">
        <v>0.115042669723602</v>
      </c>
      <c r="G106" s="416">
        <v>0.27060777911439499</v>
      </c>
      <c r="H106" s="416">
        <v>0.26862640816129202</v>
      </c>
      <c r="I106" s="416">
        <v>0.25834767641996598</v>
      </c>
      <c r="J106" s="416">
        <v>0.25834767641996598</v>
      </c>
      <c r="K106" s="416">
        <v>0.24607797811681301</v>
      </c>
      <c r="L106" s="416">
        <v>0.26590909090909098</v>
      </c>
      <c r="M106" s="416">
        <v>0.31869776724460502</v>
      </c>
      <c r="N106" s="1245">
        <v>0.24871115886965756</v>
      </c>
    </row>
    <row r="107" spans="1:14">
      <c r="A107" s="133"/>
      <c r="B107" s="133"/>
      <c r="C107" s="9"/>
      <c r="D107" s="9"/>
      <c r="E107" s="39"/>
      <c r="F107" s="39"/>
      <c r="G107" s="9"/>
      <c r="H107" s="9"/>
      <c r="I107" s="9"/>
      <c r="J107" s="9"/>
      <c r="K107" s="9"/>
      <c r="L107" s="9"/>
      <c r="M107" s="9"/>
    </row>
    <row r="108" spans="1:14">
      <c r="A108" s="133"/>
      <c r="B108" s="133"/>
      <c r="C108" s="9"/>
      <c r="D108" s="9"/>
      <c r="E108" s="39"/>
      <c r="F108" s="39"/>
      <c r="G108" s="9"/>
      <c r="H108" s="9"/>
      <c r="I108" s="9"/>
      <c r="J108" s="9"/>
      <c r="K108" s="9"/>
      <c r="L108" s="9"/>
      <c r="M108" s="9"/>
    </row>
    <row r="109" spans="1:14">
      <c r="A109" s="9"/>
      <c r="B109" s="9"/>
      <c r="C109" s="9"/>
      <c r="D109" s="9"/>
      <c r="E109" s="39"/>
      <c r="F109" s="39"/>
      <c r="G109" s="9"/>
      <c r="H109" s="9"/>
      <c r="I109" s="9"/>
      <c r="J109" s="9"/>
      <c r="K109" s="9"/>
      <c r="L109" s="9"/>
      <c r="M109" s="9"/>
    </row>
    <row r="110" spans="1:14" ht="18">
      <c r="A110" s="389"/>
      <c r="B110" s="389"/>
      <c r="C110" s="9"/>
      <c r="D110" s="9"/>
      <c r="E110" s="39"/>
      <c r="F110" s="39"/>
      <c r="G110" s="9"/>
      <c r="H110" s="9"/>
      <c r="I110" s="9"/>
      <c r="J110" s="9"/>
      <c r="K110" s="9"/>
      <c r="L110" s="9"/>
      <c r="M110" s="9"/>
    </row>
    <row r="111" spans="1:14" ht="18">
      <c r="A111" s="389" t="s">
        <v>44</v>
      </c>
      <c r="B111" s="389"/>
      <c r="C111" s="9"/>
      <c r="D111" s="9"/>
      <c r="E111" s="39"/>
      <c r="F111" s="39"/>
      <c r="G111" s="9"/>
      <c r="H111" s="9"/>
      <c r="I111" s="9"/>
      <c r="J111" s="9"/>
      <c r="K111" s="9"/>
      <c r="L111" s="9"/>
      <c r="M111" s="9"/>
    </row>
    <row r="112" spans="1:14">
      <c r="A112" s="392" t="s">
        <v>106</v>
      </c>
      <c r="B112" s="393">
        <v>2010</v>
      </c>
      <c r="C112" s="394">
        <v>2011</v>
      </c>
      <c r="D112" s="394">
        <v>2012</v>
      </c>
      <c r="E112" s="394">
        <v>2013</v>
      </c>
      <c r="F112" s="394">
        <v>2014</v>
      </c>
      <c r="G112" s="394">
        <v>2015</v>
      </c>
      <c r="H112" s="394">
        <v>2016</v>
      </c>
      <c r="I112" s="394">
        <v>2017</v>
      </c>
      <c r="J112" s="394">
        <v>2018</v>
      </c>
      <c r="K112" s="394">
        <v>2019</v>
      </c>
      <c r="L112" s="394">
        <v>2020</v>
      </c>
      <c r="M112" s="394">
        <v>2021</v>
      </c>
      <c r="N112" s="394">
        <v>2022</v>
      </c>
    </row>
    <row r="113" spans="1:14">
      <c r="A113" s="395">
        <v>1</v>
      </c>
      <c r="B113" s="418">
        <v>1</v>
      </c>
      <c r="C113" s="396">
        <v>1</v>
      </c>
      <c r="D113" s="397">
        <v>1</v>
      </c>
      <c r="E113" s="396">
        <v>1</v>
      </c>
      <c r="F113" s="396">
        <v>1</v>
      </c>
      <c r="G113" s="397">
        <v>1</v>
      </c>
      <c r="H113" s="396">
        <v>1</v>
      </c>
      <c r="I113" s="396">
        <v>1</v>
      </c>
      <c r="J113" s="396">
        <v>1</v>
      </c>
      <c r="K113" s="396">
        <v>1</v>
      </c>
      <c r="L113" s="396">
        <v>1</v>
      </c>
      <c r="M113" s="396">
        <v>1</v>
      </c>
      <c r="N113" s="1246">
        <v>1</v>
      </c>
    </row>
    <row r="114" spans="1:14">
      <c r="A114" s="401">
        <v>2</v>
      </c>
      <c r="B114" s="421">
        <v>1</v>
      </c>
      <c r="C114" s="402">
        <v>1</v>
      </c>
      <c r="D114" s="403">
        <v>1</v>
      </c>
      <c r="E114" s="402">
        <v>1</v>
      </c>
      <c r="F114" s="402">
        <v>1</v>
      </c>
      <c r="G114" s="403">
        <v>1</v>
      </c>
      <c r="H114" s="402">
        <v>1</v>
      </c>
      <c r="I114" s="402">
        <v>1</v>
      </c>
      <c r="J114" s="402">
        <v>1</v>
      </c>
      <c r="K114" s="402">
        <v>1</v>
      </c>
      <c r="L114" s="402">
        <v>1</v>
      </c>
      <c r="M114" s="402">
        <v>1</v>
      </c>
      <c r="N114" s="1247">
        <v>1</v>
      </c>
    </row>
    <row r="115" spans="1:14">
      <c r="A115" s="401">
        <v>3</v>
      </c>
      <c r="B115" s="421">
        <v>1</v>
      </c>
      <c r="C115" s="402">
        <v>1</v>
      </c>
      <c r="D115" s="403">
        <v>1</v>
      </c>
      <c r="E115" s="402">
        <v>1</v>
      </c>
      <c r="F115" s="402">
        <v>1</v>
      </c>
      <c r="G115" s="403">
        <v>1</v>
      </c>
      <c r="H115" s="402">
        <v>1</v>
      </c>
      <c r="I115" s="402">
        <v>1</v>
      </c>
      <c r="J115" s="402">
        <v>1</v>
      </c>
      <c r="K115" s="402">
        <v>1</v>
      </c>
      <c r="L115" s="402">
        <v>1</v>
      </c>
      <c r="M115" s="402">
        <v>1</v>
      </c>
      <c r="N115" s="1247">
        <v>1</v>
      </c>
    </row>
    <row r="116" spans="1:14">
      <c r="A116" s="401">
        <v>4</v>
      </c>
      <c r="B116" s="421">
        <v>1</v>
      </c>
      <c r="C116" s="402">
        <v>1</v>
      </c>
      <c r="D116" s="403">
        <v>1</v>
      </c>
      <c r="E116" s="402">
        <v>1</v>
      </c>
      <c r="F116" s="402">
        <v>1</v>
      </c>
      <c r="G116" s="403">
        <v>1</v>
      </c>
      <c r="H116" s="402">
        <v>1</v>
      </c>
      <c r="I116" s="402">
        <v>1</v>
      </c>
      <c r="J116" s="402">
        <v>1</v>
      </c>
      <c r="K116" s="402">
        <v>1</v>
      </c>
      <c r="L116" s="402">
        <v>1</v>
      </c>
      <c r="M116" s="402">
        <v>1</v>
      </c>
      <c r="N116" s="1247">
        <v>1</v>
      </c>
    </row>
    <row r="117" spans="1:14">
      <c r="A117" s="401">
        <v>5</v>
      </c>
      <c r="B117" s="421">
        <v>0.99900582842571795</v>
      </c>
      <c r="C117" s="402">
        <v>0.99900582842571795</v>
      </c>
      <c r="D117" s="403">
        <v>0.999</v>
      </c>
      <c r="E117" s="402">
        <v>1</v>
      </c>
      <c r="F117" s="402">
        <v>1</v>
      </c>
      <c r="G117" s="403">
        <v>1</v>
      </c>
      <c r="H117" s="402">
        <v>1</v>
      </c>
      <c r="I117" s="402">
        <v>1</v>
      </c>
      <c r="J117" s="402">
        <v>0.99853574504737297</v>
      </c>
      <c r="K117" s="402">
        <v>0.99463545965176603</v>
      </c>
      <c r="L117" s="402">
        <v>0.99</v>
      </c>
      <c r="M117" s="402">
        <v>0.99313954128945769</v>
      </c>
      <c r="N117" s="1247">
        <v>0.998</v>
      </c>
    </row>
    <row r="118" spans="1:14">
      <c r="A118" s="401">
        <v>6</v>
      </c>
      <c r="B118" s="421">
        <v>0.98272619189904997</v>
      </c>
      <c r="C118" s="402">
        <v>0.99</v>
      </c>
      <c r="D118" s="403">
        <v>0.98699999999999999</v>
      </c>
      <c r="E118" s="402">
        <v>0.98</v>
      </c>
      <c r="F118" s="402">
        <v>0.99</v>
      </c>
      <c r="G118" s="403">
        <v>0.99</v>
      </c>
      <c r="H118" s="402">
        <v>0.99</v>
      </c>
      <c r="I118" s="402">
        <v>0.98</v>
      </c>
      <c r="J118" s="402">
        <v>0.97987719742310597</v>
      </c>
      <c r="K118" s="402">
        <v>0.96809322165831202</v>
      </c>
      <c r="L118" s="402">
        <v>0.96</v>
      </c>
      <c r="M118" s="402">
        <v>0.95974279130376117</v>
      </c>
      <c r="N118" s="1247">
        <v>0.97499999999999998</v>
      </c>
    </row>
    <row r="119" spans="1:14">
      <c r="A119" s="401">
        <v>7</v>
      </c>
      <c r="B119" s="421">
        <v>0.94738104347130903</v>
      </c>
      <c r="C119" s="402">
        <v>0.96</v>
      </c>
      <c r="D119" s="403">
        <v>0.96099999999999997</v>
      </c>
      <c r="E119" s="402">
        <v>0.95</v>
      </c>
      <c r="F119" s="402">
        <v>0.96</v>
      </c>
      <c r="G119" s="403">
        <v>0.96</v>
      </c>
      <c r="H119" s="402">
        <v>0.95</v>
      </c>
      <c r="I119" s="402">
        <v>0.95</v>
      </c>
      <c r="J119" s="402">
        <v>0.93838815047493296</v>
      </c>
      <c r="K119" s="402">
        <v>0.925916775491476</v>
      </c>
      <c r="L119" s="402">
        <v>0.93</v>
      </c>
      <c r="M119" s="402">
        <v>0.9226428420339372</v>
      </c>
      <c r="N119" s="1247">
        <v>0.93400000000000005</v>
      </c>
    </row>
    <row r="120" spans="1:14">
      <c r="A120" s="401">
        <v>8</v>
      </c>
      <c r="B120" s="421">
        <v>0.91089717763311395</v>
      </c>
      <c r="C120" s="402">
        <v>0.92</v>
      </c>
      <c r="D120" s="403">
        <v>0.92500000000000004</v>
      </c>
      <c r="E120" s="402">
        <v>0.92</v>
      </c>
      <c r="F120" s="402">
        <v>0.93</v>
      </c>
      <c r="G120" s="403">
        <v>0.92</v>
      </c>
      <c r="H120" s="402">
        <v>0.92</v>
      </c>
      <c r="I120" s="402">
        <v>0.91</v>
      </c>
      <c r="J120" s="402">
        <v>0.90401040321520998</v>
      </c>
      <c r="K120" s="402">
        <v>0.88960854590419602</v>
      </c>
      <c r="L120" s="402">
        <v>0.89</v>
      </c>
      <c r="M120" s="402">
        <v>0.89165070682832681</v>
      </c>
      <c r="N120" s="1247">
        <v>0.9</v>
      </c>
    </row>
    <row r="121" spans="1:14">
      <c r="A121" s="401">
        <v>9</v>
      </c>
      <c r="B121" s="421">
        <v>0.89018528820660903</v>
      </c>
      <c r="C121" s="402">
        <v>0.89</v>
      </c>
      <c r="D121" s="403">
        <v>0.89300000000000002</v>
      </c>
      <c r="E121" s="402">
        <v>0.89</v>
      </c>
      <c r="F121" s="402">
        <v>0.91</v>
      </c>
      <c r="G121" s="403">
        <v>0.88</v>
      </c>
      <c r="H121" s="402">
        <v>0.88</v>
      </c>
      <c r="I121" s="402">
        <v>0.88</v>
      </c>
      <c r="J121" s="402">
        <v>0.87372929332709803</v>
      </c>
      <c r="K121" s="402">
        <v>0.86752007510957196</v>
      </c>
      <c r="L121" s="402">
        <v>0.86</v>
      </c>
      <c r="M121" s="402">
        <v>0.86144249844350007</v>
      </c>
      <c r="N121" s="1247">
        <v>0.87</v>
      </c>
    </row>
    <row r="122" spans="1:14">
      <c r="A122" s="401">
        <v>10</v>
      </c>
      <c r="B122" s="421">
        <v>0.84088925868052</v>
      </c>
      <c r="C122" s="402">
        <v>0.85</v>
      </c>
      <c r="D122" s="403">
        <v>0.84899999999999998</v>
      </c>
      <c r="E122" s="402">
        <v>0.86</v>
      </c>
      <c r="F122" s="402">
        <v>0.87</v>
      </c>
      <c r="G122" s="403">
        <v>0.83</v>
      </c>
      <c r="H122" s="402">
        <v>0.86</v>
      </c>
      <c r="I122" s="402">
        <v>0.85</v>
      </c>
      <c r="J122" s="402">
        <v>0.84896446253142899</v>
      </c>
      <c r="K122" s="402">
        <v>0.82589903266300702</v>
      </c>
      <c r="L122" s="402">
        <v>0.82</v>
      </c>
      <c r="M122" s="402">
        <v>0.81185489795332078</v>
      </c>
      <c r="N122" s="1247">
        <v>0.81599999999999995</v>
      </c>
    </row>
    <row r="123" spans="1:14">
      <c r="A123" s="401">
        <v>11</v>
      </c>
      <c r="B123" s="421">
        <v>0.75745922362203</v>
      </c>
      <c r="C123" s="402">
        <v>0.77</v>
      </c>
      <c r="D123" s="403">
        <v>0.77500000000000002</v>
      </c>
      <c r="E123" s="402">
        <v>0.79</v>
      </c>
      <c r="F123" s="402">
        <v>0.8</v>
      </c>
      <c r="G123" s="403">
        <v>0.76</v>
      </c>
      <c r="H123" s="402">
        <v>0.82</v>
      </c>
      <c r="I123" s="402">
        <v>0.81</v>
      </c>
      <c r="J123" s="402">
        <v>0.79546149488954498</v>
      </c>
      <c r="K123" s="402">
        <v>0.77933590813655096</v>
      </c>
      <c r="L123" s="402">
        <v>0.76</v>
      </c>
      <c r="M123" s="402">
        <v>0.75665672126855732</v>
      </c>
      <c r="N123" s="1247">
        <v>0.747</v>
      </c>
    </row>
    <row r="124" spans="1:14">
      <c r="A124" s="401">
        <v>12</v>
      </c>
      <c r="B124" s="421">
        <v>0.70988842741497804</v>
      </c>
      <c r="C124" s="402">
        <v>0.72</v>
      </c>
      <c r="D124" s="403">
        <v>0.72699999999999998</v>
      </c>
      <c r="E124" s="402">
        <v>0.73</v>
      </c>
      <c r="F124" s="402">
        <v>0.74</v>
      </c>
      <c r="G124" s="403">
        <v>0.7</v>
      </c>
      <c r="H124" s="402">
        <v>0.76</v>
      </c>
      <c r="I124" s="402">
        <v>0.76</v>
      </c>
      <c r="J124" s="402">
        <v>0.74648795280138602</v>
      </c>
      <c r="K124" s="402">
        <v>0.71566420876922998</v>
      </c>
      <c r="L124" s="402">
        <v>0.71</v>
      </c>
      <c r="M124" s="402">
        <v>0.69299083363690961</v>
      </c>
      <c r="N124" s="1247">
        <v>0.69299999999999995</v>
      </c>
    </row>
    <row r="125" spans="1:14">
      <c r="A125" s="401">
        <v>13</v>
      </c>
      <c r="B125" s="421">
        <v>0.69015324995596306</v>
      </c>
      <c r="C125" s="402">
        <v>0.69015324995596306</v>
      </c>
      <c r="D125" s="403">
        <v>0.69699999999999995</v>
      </c>
      <c r="E125" s="402">
        <v>0.71</v>
      </c>
      <c r="F125" s="402">
        <v>0.71</v>
      </c>
      <c r="G125" s="403">
        <v>0.67</v>
      </c>
      <c r="H125" s="402">
        <v>0.71</v>
      </c>
      <c r="I125" s="402">
        <v>0.71</v>
      </c>
      <c r="J125" s="402">
        <v>0.70459063750859396</v>
      </c>
      <c r="K125" s="402">
        <v>0.67707215941909404</v>
      </c>
      <c r="L125" s="402">
        <v>0.66</v>
      </c>
      <c r="M125" s="402">
        <v>0.65745612898208872</v>
      </c>
      <c r="N125" s="1247">
        <v>0.64400000000000002</v>
      </c>
    </row>
    <row r="126" spans="1:14">
      <c r="A126" s="401">
        <v>14</v>
      </c>
      <c r="B126" s="421">
        <v>0.64014049656604199</v>
      </c>
      <c r="C126" s="402">
        <v>0.65</v>
      </c>
      <c r="D126" s="403">
        <v>0.64900000000000002</v>
      </c>
      <c r="E126" s="402">
        <v>0.65</v>
      </c>
      <c r="F126" s="402">
        <v>0.65</v>
      </c>
      <c r="G126" s="403">
        <v>0.65</v>
      </c>
      <c r="H126" s="402">
        <v>0.65</v>
      </c>
      <c r="I126" s="402">
        <v>0.66</v>
      </c>
      <c r="J126" s="402">
        <v>0.649606341907778</v>
      </c>
      <c r="K126" s="402">
        <v>0.63670378049365495</v>
      </c>
      <c r="L126" s="402">
        <v>0.62</v>
      </c>
      <c r="M126" s="402">
        <v>0.61210975878731977</v>
      </c>
      <c r="N126" s="1247">
        <v>0.60799999999999998</v>
      </c>
    </row>
    <row r="127" spans="1:14">
      <c r="A127" s="401">
        <v>15</v>
      </c>
      <c r="B127" s="421">
        <v>0.53234792016467303</v>
      </c>
      <c r="C127" s="402">
        <v>0.55000000000000004</v>
      </c>
      <c r="D127" s="403">
        <v>0.57099999999999995</v>
      </c>
      <c r="E127" s="402">
        <v>0.56999999999999995</v>
      </c>
      <c r="F127" s="402">
        <v>0.56999999999999995</v>
      </c>
      <c r="G127" s="403">
        <v>0.57999999999999996</v>
      </c>
      <c r="H127" s="402">
        <v>0.56999999999999995</v>
      </c>
      <c r="I127" s="402">
        <v>0.57999999999999996</v>
      </c>
      <c r="J127" s="402">
        <v>0.58054034081029404</v>
      </c>
      <c r="K127" s="402">
        <v>0.56742614844054995</v>
      </c>
      <c r="L127" s="402">
        <v>0.56999999999999995</v>
      </c>
      <c r="M127" s="402">
        <v>0.56054026734879114</v>
      </c>
      <c r="N127" s="1247">
        <v>0.54900000000000004</v>
      </c>
    </row>
    <row r="128" spans="1:14">
      <c r="A128" s="401">
        <v>16</v>
      </c>
      <c r="B128" s="421">
        <v>0.51211520400709598</v>
      </c>
      <c r="C128" s="402">
        <v>0.5</v>
      </c>
      <c r="D128" s="403">
        <v>0.51400000000000001</v>
      </c>
      <c r="E128" s="402">
        <v>0.53</v>
      </c>
      <c r="F128" s="402">
        <v>0.53</v>
      </c>
      <c r="G128" s="403">
        <v>0.54</v>
      </c>
      <c r="H128" s="402">
        <v>0.52</v>
      </c>
      <c r="I128" s="402">
        <v>0.52</v>
      </c>
      <c r="J128" s="402">
        <v>0.51248058109753503</v>
      </c>
      <c r="K128" s="402">
        <v>0.50369500956355395</v>
      </c>
      <c r="L128" s="402">
        <v>0.5</v>
      </c>
      <c r="M128" s="402">
        <v>0.5061906716199146</v>
      </c>
      <c r="N128" s="1247">
        <v>0.48699999999999999</v>
      </c>
    </row>
    <row r="129" spans="1:14">
      <c r="A129" s="401">
        <v>17</v>
      </c>
      <c r="B129" s="421">
        <v>0.48728820429671699</v>
      </c>
      <c r="C129" s="410">
        <v>0.5</v>
      </c>
      <c r="D129" s="411">
        <v>0.48499999999999999</v>
      </c>
      <c r="E129" s="410">
        <v>0.5</v>
      </c>
      <c r="F129" s="410">
        <v>0.51</v>
      </c>
      <c r="G129" s="411">
        <v>0.53</v>
      </c>
      <c r="H129" s="402">
        <v>0.5</v>
      </c>
      <c r="I129" s="402">
        <v>0.49</v>
      </c>
      <c r="J129" s="402">
        <v>0.47599572990121602</v>
      </c>
      <c r="K129" s="402">
        <v>0.46175525884872098</v>
      </c>
      <c r="L129" s="402">
        <v>0.46</v>
      </c>
      <c r="M129" s="402">
        <v>0.45015290851516071</v>
      </c>
      <c r="N129" s="1247">
        <v>0.44400000000000001</v>
      </c>
    </row>
    <row r="130" spans="1:14">
      <c r="A130" s="401">
        <v>18</v>
      </c>
      <c r="B130" s="421">
        <v>0.47011316017795501</v>
      </c>
      <c r="C130" s="410">
        <v>0.48</v>
      </c>
      <c r="D130" s="411">
        <v>0.498</v>
      </c>
      <c r="E130" s="410">
        <v>0.48</v>
      </c>
      <c r="F130" s="410">
        <v>0.5</v>
      </c>
      <c r="G130" s="411">
        <v>0.5</v>
      </c>
      <c r="H130" s="402">
        <v>0.5</v>
      </c>
      <c r="I130" s="402">
        <v>0.48</v>
      </c>
      <c r="J130" s="402">
        <v>0.46490249000547901</v>
      </c>
      <c r="K130" s="402">
        <v>0.44978875039468302</v>
      </c>
      <c r="L130" s="402">
        <v>0.44</v>
      </c>
      <c r="M130" s="402">
        <v>0.42</v>
      </c>
      <c r="N130" s="1247">
        <v>0.41099999999999998</v>
      </c>
    </row>
    <row r="131" spans="1:14">
      <c r="A131" s="401">
        <v>19</v>
      </c>
      <c r="B131" s="421">
        <v>0.45118114024536898</v>
      </c>
      <c r="C131" s="410">
        <v>0.47</v>
      </c>
      <c r="D131" s="411">
        <v>0.48199999999999998</v>
      </c>
      <c r="E131" s="410">
        <v>0.5</v>
      </c>
      <c r="F131" s="410">
        <v>0.48</v>
      </c>
      <c r="G131" s="411">
        <v>0.51</v>
      </c>
      <c r="H131" s="402">
        <v>0.5</v>
      </c>
      <c r="I131" s="402">
        <v>0.49</v>
      </c>
      <c r="J131" s="402">
        <v>0.46691770629430301</v>
      </c>
      <c r="K131" s="402">
        <v>0.45084420723664198</v>
      </c>
      <c r="L131" s="402">
        <v>0.44</v>
      </c>
      <c r="M131" s="402">
        <v>0.42485545992001389</v>
      </c>
      <c r="N131" s="1247">
        <v>0.40300000000000002</v>
      </c>
    </row>
    <row r="132" spans="1:14">
      <c r="A132" s="398">
        <v>20</v>
      </c>
      <c r="B132" s="419">
        <v>0.44053579621391997</v>
      </c>
      <c r="C132" s="408">
        <v>0.45</v>
      </c>
      <c r="D132" s="409">
        <v>0.46700000000000003</v>
      </c>
      <c r="E132" s="408">
        <v>0.48</v>
      </c>
      <c r="F132" s="408">
        <v>0.47</v>
      </c>
      <c r="G132" s="409">
        <v>0.47</v>
      </c>
      <c r="H132" s="399">
        <v>0.49</v>
      </c>
      <c r="I132" s="420">
        <v>0.49</v>
      </c>
      <c r="J132" s="420">
        <v>0.48671191243344503</v>
      </c>
      <c r="K132" s="420">
        <v>0.46007456516985201</v>
      </c>
      <c r="L132" s="420">
        <v>0.44</v>
      </c>
      <c r="M132" s="420">
        <v>0.43</v>
      </c>
      <c r="N132" s="1248">
        <v>0.40899999999999997</v>
      </c>
    </row>
    <row r="135" spans="1:14" ht="18.75">
      <c r="A135" s="385" t="s">
        <v>107</v>
      </c>
    </row>
    <row r="136" spans="1:14">
      <c r="A136" s="155" t="s">
        <v>421</v>
      </c>
      <c r="H136" s="381"/>
      <c r="I136" s="381"/>
    </row>
  </sheetData>
  <hyperlinks>
    <hyperlink ref="O1" location="Content!A1" display="ToC" xr:uid="{0A0D77C7-3144-4E1B-8442-28FF764F0A1E}"/>
  </hyperlinks>
  <pageMargins left="0.75" right="0.75" top="1" bottom="1" header="0.51180555555555596" footer="0.51180555555555596"/>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36C7C-78A2-4C3A-AF35-258EB459BB63}">
  <sheetPr>
    <pageSetUpPr fitToPage="1"/>
  </sheetPr>
  <dimension ref="A1:AN96"/>
  <sheetViews>
    <sheetView zoomScaleNormal="100" workbookViewId="0">
      <pane xSplit="2" ySplit="6" topLeftCell="C7" activePane="bottomRight" state="frozenSplit"/>
      <selection pane="topRight"/>
      <selection pane="bottomLeft"/>
      <selection pane="bottomRight"/>
    </sheetView>
  </sheetViews>
  <sheetFormatPr defaultColWidth="8.85546875" defaultRowHeight="14.25"/>
  <cols>
    <col min="1" max="1" width="28.42578125" style="9" customWidth="1"/>
    <col min="2" max="2" width="12" style="9" customWidth="1"/>
    <col min="3" max="16" width="10.85546875" style="9" customWidth="1"/>
    <col min="17" max="18" width="10.7109375" style="39" customWidth="1"/>
    <col min="19" max="19" width="19.28515625" style="39" customWidth="1"/>
    <col min="20" max="21" width="10.7109375" style="39" customWidth="1"/>
    <col min="22" max="26" width="10.42578125" style="9" customWidth="1"/>
    <col min="27" max="27" width="10.28515625" style="9" customWidth="1"/>
    <col min="28" max="32" width="9.7109375" style="9" customWidth="1"/>
    <col min="33" max="16384" width="8.85546875" style="9"/>
  </cols>
  <sheetData>
    <row r="1" spans="1:40" ht="18.75">
      <c r="A1" s="8" t="s">
        <v>32</v>
      </c>
      <c r="AG1" s="888" t="s">
        <v>458</v>
      </c>
    </row>
    <row r="2" spans="1:40">
      <c r="A2" s="9" t="s">
        <v>48</v>
      </c>
    </row>
    <row r="3" spans="1:40" ht="15">
      <c r="A3" s="10" t="s">
        <v>62</v>
      </c>
      <c r="H3" s="131"/>
    </row>
    <row r="4" spans="1:40" ht="15">
      <c r="A4" s="10" t="s">
        <v>423</v>
      </c>
      <c r="H4" s="131"/>
    </row>
    <row r="5" spans="1:40" ht="15" thickBot="1"/>
    <row r="6" spans="1:40" s="168" customFormat="1" ht="12.75">
      <c r="A6" s="158" t="s">
        <v>63</v>
      </c>
      <c r="B6" s="158" t="s">
        <v>34</v>
      </c>
      <c r="C6" s="159">
        <v>1996</v>
      </c>
      <c r="D6" s="160">
        <v>1997</v>
      </c>
      <c r="E6" s="160">
        <v>1998</v>
      </c>
      <c r="F6" s="160">
        <v>1999</v>
      </c>
      <c r="G6" s="160">
        <v>2000</v>
      </c>
      <c r="H6" s="160">
        <v>2001</v>
      </c>
      <c r="I6" s="160">
        <v>2002</v>
      </c>
      <c r="J6" s="160">
        <v>2003</v>
      </c>
      <c r="K6" s="161">
        <v>2004</v>
      </c>
      <c r="L6" s="162">
        <v>2005</v>
      </c>
      <c r="M6" s="162">
        <v>2006</v>
      </c>
      <c r="N6" s="163">
        <v>2007</v>
      </c>
      <c r="O6" s="160">
        <v>2008</v>
      </c>
      <c r="P6" s="160">
        <v>2009</v>
      </c>
      <c r="Q6" s="162">
        <v>2010</v>
      </c>
      <c r="R6" s="164">
        <v>2011</v>
      </c>
      <c r="S6" s="158" t="s">
        <v>63</v>
      </c>
      <c r="T6" s="159" t="s">
        <v>34</v>
      </c>
      <c r="U6" s="165">
        <v>2011</v>
      </c>
      <c r="V6" s="161">
        <v>2012</v>
      </c>
      <c r="W6" s="166">
        <v>2013</v>
      </c>
      <c r="X6" s="166">
        <v>2014</v>
      </c>
      <c r="Y6" s="166">
        <v>2015</v>
      </c>
      <c r="Z6" s="167">
        <v>2016</v>
      </c>
      <c r="AA6" s="167">
        <v>2017</v>
      </c>
      <c r="AB6" s="167">
        <v>2018</v>
      </c>
      <c r="AC6" s="167">
        <v>2019</v>
      </c>
      <c r="AD6" s="167">
        <v>2020</v>
      </c>
      <c r="AE6" s="167">
        <v>2021</v>
      </c>
      <c r="AF6" s="158">
        <v>2022</v>
      </c>
      <c r="AH6" s="100"/>
      <c r="AI6" s="57"/>
      <c r="AJ6" s="57"/>
      <c r="AK6" s="57"/>
      <c r="AL6" s="57"/>
      <c r="AM6" s="57"/>
      <c r="AN6" s="57"/>
    </row>
    <row r="7" spans="1:40" s="57" customFormat="1">
      <c r="A7" s="134" t="s">
        <v>97</v>
      </c>
      <c r="B7" s="135" t="s">
        <v>36</v>
      </c>
      <c r="C7" s="169">
        <v>91</v>
      </c>
      <c r="D7" s="170">
        <v>91</v>
      </c>
      <c r="E7" s="170">
        <v>91</v>
      </c>
      <c r="F7" s="170">
        <v>91</v>
      </c>
      <c r="G7" s="170">
        <v>91</v>
      </c>
      <c r="H7" s="170">
        <v>90</v>
      </c>
      <c r="I7" s="170">
        <v>89</v>
      </c>
      <c r="J7" s="170">
        <v>87</v>
      </c>
      <c r="K7" s="171">
        <v>88</v>
      </c>
      <c r="L7" s="172">
        <v>94.6</v>
      </c>
      <c r="M7" s="172">
        <v>94.2</v>
      </c>
      <c r="N7" s="173">
        <v>94.471802035169006</v>
      </c>
      <c r="O7" s="174">
        <v>93.5</v>
      </c>
      <c r="P7" s="174">
        <v>92.1</v>
      </c>
      <c r="Q7" s="172">
        <v>92.6</v>
      </c>
      <c r="R7" s="175">
        <v>92.9</v>
      </c>
      <c r="S7" s="134" t="s">
        <v>64</v>
      </c>
      <c r="T7" s="136" t="s">
        <v>36</v>
      </c>
      <c r="U7" s="176">
        <v>92.9</v>
      </c>
      <c r="V7" s="177">
        <v>92.8</v>
      </c>
      <c r="W7" s="178">
        <v>92.8</v>
      </c>
      <c r="X7" s="178">
        <v>93.3</v>
      </c>
      <c r="Y7" s="178">
        <v>93.8</v>
      </c>
      <c r="Z7" s="179">
        <v>94.9</v>
      </c>
      <c r="AA7" s="179">
        <v>94.913974136978197</v>
      </c>
      <c r="AB7" s="135">
        <v>94.7</v>
      </c>
      <c r="AC7" s="135">
        <v>94.5</v>
      </c>
      <c r="AD7" s="135">
        <v>94.3</v>
      </c>
      <c r="AE7" s="135">
        <v>95.1</v>
      </c>
      <c r="AF7" s="134">
        <v>95.2</v>
      </c>
    </row>
    <row r="8" spans="1:40" s="57" customFormat="1" ht="12.75">
      <c r="A8" s="134"/>
      <c r="B8" s="137" t="s">
        <v>38</v>
      </c>
      <c r="C8" s="180">
        <v>45</v>
      </c>
      <c r="D8" s="181">
        <v>47</v>
      </c>
      <c r="E8" s="181">
        <v>48</v>
      </c>
      <c r="F8" s="181">
        <v>48</v>
      </c>
      <c r="G8" s="181">
        <v>53.3</v>
      </c>
      <c r="H8" s="181">
        <v>54.1</v>
      </c>
      <c r="I8" s="181">
        <v>54</v>
      </c>
      <c r="J8" s="181">
        <v>53.8</v>
      </c>
      <c r="K8" s="182">
        <v>55.4</v>
      </c>
      <c r="L8" s="183">
        <v>66.599999999999994</v>
      </c>
      <c r="M8" s="183">
        <v>67.400000000000006</v>
      </c>
      <c r="N8" s="184">
        <v>66.2</v>
      </c>
      <c r="O8" s="185">
        <v>65.599999999999994</v>
      </c>
      <c r="P8" s="185">
        <v>63.2</v>
      </c>
      <c r="Q8" s="183">
        <v>63.7</v>
      </c>
      <c r="R8" s="186">
        <v>65.8</v>
      </c>
      <c r="S8" s="134"/>
      <c r="T8" s="138" t="s">
        <v>38</v>
      </c>
      <c r="U8" s="187">
        <v>65.8</v>
      </c>
      <c r="V8" s="188">
        <v>67.099999999999994</v>
      </c>
      <c r="W8" s="189">
        <v>67.8</v>
      </c>
      <c r="X8" s="189">
        <v>67.900000000000006</v>
      </c>
      <c r="Y8" s="189">
        <v>69.400000000000006</v>
      </c>
      <c r="Z8" s="190">
        <v>71.2</v>
      </c>
      <c r="AA8" s="190">
        <v>71.8</v>
      </c>
      <c r="AB8" s="137">
        <v>71.8</v>
      </c>
      <c r="AC8" s="137">
        <v>72.7</v>
      </c>
      <c r="AD8" s="137">
        <v>73.099999999999994</v>
      </c>
      <c r="AE8" s="137">
        <v>73.3</v>
      </c>
      <c r="AF8" s="134">
        <v>74.7</v>
      </c>
    </row>
    <row r="9" spans="1:40" s="100" customFormat="1" ht="12.75">
      <c r="A9" s="134"/>
      <c r="B9" s="137" t="s">
        <v>42</v>
      </c>
      <c r="C9" s="180"/>
      <c r="D9" s="181"/>
      <c r="E9" s="181"/>
      <c r="F9" s="181"/>
      <c r="G9" s="181"/>
      <c r="H9" s="181"/>
      <c r="I9" s="181"/>
      <c r="J9" s="181"/>
      <c r="K9" s="182"/>
      <c r="L9" s="183"/>
      <c r="M9" s="183"/>
      <c r="N9" s="184">
        <v>83.9</v>
      </c>
      <c r="O9" s="185">
        <v>83.4</v>
      </c>
      <c r="P9" s="185">
        <v>79.400000000000006</v>
      </c>
      <c r="Q9" s="183">
        <v>79.2</v>
      </c>
      <c r="R9" s="186">
        <v>72.400000000000006</v>
      </c>
      <c r="S9" s="134"/>
      <c r="T9" s="138" t="s">
        <v>42</v>
      </c>
      <c r="U9" s="187">
        <v>72.400000000000006</v>
      </c>
      <c r="V9" s="188">
        <v>84.2</v>
      </c>
      <c r="W9" s="189">
        <v>80.599999999999994</v>
      </c>
      <c r="X9" s="189">
        <v>80.8</v>
      </c>
      <c r="Y9" s="189">
        <v>82.5</v>
      </c>
      <c r="Z9" s="190">
        <v>85.1</v>
      </c>
      <c r="AA9" s="190">
        <v>85.4</v>
      </c>
      <c r="AB9" s="137">
        <v>84.4</v>
      </c>
      <c r="AC9" s="137">
        <v>81.7</v>
      </c>
      <c r="AD9" s="137">
        <v>84.5</v>
      </c>
      <c r="AE9" s="137">
        <v>85.2</v>
      </c>
      <c r="AF9" s="134">
        <v>85.5</v>
      </c>
    </row>
    <row r="10" spans="1:40" s="100" customFormat="1" ht="19.899999999999999" customHeight="1">
      <c r="A10" s="134"/>
      <c r="B10" s="139" t="s">
        <v>43</v>
      </c>
      <c r="C10" s="191"/>
      <c r="D10" s="192"/>
      <c r="E10" s="192"/>
      <c r="F10" s="192"/>
      <c r="G10" s="192"/>
      <c r="H10" s="192"/>
      <c r="I10" s="192"/>
      <c r="J10" s="192"/>
      <c r="K10" s="193"/>
      <c r="L10" s="194"/>
      <c r="M10" s="194"/>
      <c r="N10" s="195"/>
      <c r="O10" s="196"/>
      <c r="P10" s="196"/>
      <c r="Q10" s="197">
        <v>284967</v>
      </c>
      <c r="R10" s="198">
        <v>327188</v>
      </c>
      <c r="S10" s="134"/>
      <c r="T10" s="140" t="s">
        <v>43</v>
      </c>
      <c r="U10" s="199">
        <v>327188</v>
      </c>
      <c r="V10" s="200">
        <v>445608</v>
      </c>
      <c r="W10" s="201">
        <v>569081</v>
      </c>
      <c r="X10" s="201">
        <v>682158</v>
      </c>
      <c r="Y10" s="201">
        <v>809661</v>
      </c>
      <c r="Z10" s="202"/>
      <c r="AA10" s="203">
        <v>75.8</v>
      </c>
      <c r="AB10" s="137">
        <v>83.8</v>
      </c>
      <c r="AC10" s="137">
        <v>89.5</v>
      </c>
      <c r="AD10" s="137">
        <v>89.1</v>
      </c>
      <c r="AE10" s="137"/>
      <c r="AF10" s="134"/>
    </row>
    <row r="11" spans="1:40" s="57" customFormat="1" ht="17.25" customHeight="1">
      <c r="A11" s="141"/>
      <c r="B11" s="142" t="s">
        <v>44</v>
      </c>
      <c r="C11" s="204">
        <v>100</v>
      </c>
      <c r="D11" s="205">
        <v>100</v>
      </c>
      <c r="E11" s="205">
        <v>100</v>
      </c>
      <c r="F11" s="205">
        <v>100</v>
      </c>
      <c r="G11" s="205">
        <v>100</v>
      </c>
      <c r="H11" s="205">
        <v>100</v>
      </c>
      <c r="I11" s="205">
        <v>100</v>
      </c>
      <c r="J11" s="205">
        <v>100</v>
      </c>
      <c r="K11" s="206">
        <v>100</v>
      </c>
      <c r="L11" s="207">
        <v>100</v>
      </c>
      <c r="M11" s="207">
        <v>100</v>
      </c>
      <c r="N11" s="208">
        <v>100</v>
      </c>
      <c r="O11" s="209">
        <v>100</v>
      </c>
      <c r="P11" s="209">
        <v>100</v>
      </c>
      <c r="Q11" s="207">
        <v>100</v>
      </c>
      <c r="R11" s="210">
        <v>100</v>
      </c>
      <c r="S11" s="141"/>
      <c r="T11" s="143" t="s">
        <v>44</v>
      </c>
      <c r="U11" s="211">
        <v>100</v>
      </c>
      <c r="V11" s="212">
        <v>100</v>
      </c>
      <c r="W11" s="213">
        <v>100</v>
      </c>
      <c r="X11" s="213">
        <v>100</v>
      </c>
      <c r="Y11" s="213">
        <v>100</v>
      </c>
      <c r="Z11" s="214">
        <v>100</v>
      </c>
      <c r="AA11" s="214">
        <v>100</v>
      </c>
      <c r="AB11" s="142">
        <v>100</v>
      </c>
      <c r="AC11" s="142">
        <v>100</v>
      </c>
      <c r="AD11" s="142">
        <v>100</v>
      </c>
      <c r="AE11" s="142">
        <v>100</v>
      </c>
      <c r="AF11" s="141">
        <v>100</v>
      </c>
    </row>
    <row r="12" spans="1:40" s="57" customFormat="1" ht="15.75" customHeight="1">
      <c r="A12" s="134" t="s">
        <v>98</v>
      </c>
      <c r="B12" s="134" t="s">
        <v>36</v>
      </c>
      <c r="C12" s="215">
        <v>67</v>
      </c>
      <c r="D12" s="216">
        <v>68</v>
      </c>
      <c r="E12" s="217">
        <v>67</v>
      </c>
      <c r="F12" s="217">
        <v>64</v>
      </c>
      <c r="G12" s="217">
        <v>57</v>
      </c>
      <c r="H12" s="217">
        <v>60</v>
      </c>
      <c r="I12" s="216">
        <v>58</v>
      </c>
      <c r="J12" s="216">
        <v>59</v>
      </c>
      <c r="K12" s="218">
        <v>55</v>
      </c>
      <c r="L12" s="219">
        <v>53.3</v>
      </c>
      <c r="M12" s="219">
        <v>55.9</v>
      </c>
      <c r="N12" s="220">
        <v>50.4</v>
      </c>
      <c r="O12" s="221">
        <v>49.5</v>
      </c>
      <c r="P12" s="221">
        <v>42.1</v>
      </c>
      <c r="Q12" s="219">
        <v>42.5</v>
      </c>
      <c r="R12" s="222">
        <v>47.4</v>
      </c>
      <c r="S12" s="134" t="s">
        <v>65</v>
      </c>
      <c r="T12" s="144" t="s">
        <v>36</v>
      </c>
      <c r="U12" s="223">
        <v>47.4</v>
      </c>
      <c r="V12" s="224">
        <v>49.8</v>
      </c>
      <c r="W12" s="225">
        <v>49</v>
      </c>
      <c r="X12" s="225">
        <v>47.6</v>
      </c>
      <c r="Y12" s="225">
        <v>48</v>
      </c>
      <c r="Z12" s="226">
        <v>54.8</v>
      </c>
      <c r="AA12" s="226">
        <v>57.084713881877299</v>
      </c>
      <c r="AB12" s="227">
        <v>62.2</v>
      </c>
      <c r="AC12" s="227">
        <v>63.9</v>
      </c>
      <c r="AD12" s="227">
        <v>64.5</v>
      </c>
      <c r="AE12" s="850">
        <v>62.730050738007378</v>
      </c>
      <c r="AF12" s="1249">
        <v>59.9</v>
      </c>
    </row>
    <row r="13" spans="1:40" s="57" customFormat="1" ht="12.75">
      <c r="A13" s="134"/>
      <c r="B13" s="137" t="s">
        <v>38</v>
      </c>
      <c r="C13" s="228" t="s">
        <v>66</v>
      </c>
      <c r="D13" s="229">
        <v>66</v>
      </c>
      <c r="E13" s="229">
        <v>65</v>
      </c>
      <c r="F13" s="229">
        <v>64</v>
      </c>
      <c r="G13" s="229">
        <v>60</v>
      </c>
      <c r="H13" s="229">
        <v>56</v>
      </c>
      <c r="I13" s="181">
        <v>52</v>
      </c>
      <c r="J13" s="181">
        <v>51</v>
      </c>
      <c r="K13" s="182">
        <v>49.5</v>
      </c>
      <c r="L13" s="183">
        <v>49.1</v>
      </c>
      <c r="M13" s="183">
        <v>48.5</v>
      </c>
      <c r="N13" s="184">
        <v>48.9</v>
      </c>
      <c r="O13" s="185">
        <v>50.2</v>
      </c>
      <c r="P13" s="185">
        <v>50.2</v>
      </c>
      <c r="Q13" s="183">
        <v>54.9</v>
      </c>
      <c r="R13" s="186">
        <v>60.5</v>
      </c>
      <c r="S13" s="134"/>
      <c r="T13" s="138" t="s">
        <v>38</v>
      </c>
      <c r="U13" s="187">
        <v>60.5</v>
      </c>
      <c r="V13" s="188">
        <v>66.8</v>
      </c>
      <c r="W13" s="189">
        <v>69.8</v>
      </c>
      <c r="X13" s="189">
        <v>69.3</v>
      </c>
      <c r="Y13" s="189">
        <v>69.400000000000006</v>
      </c>
      <c r="Z13" s="190">
        <v>75.8</v>
      </c>
      <c r="AA13" s="190">
        <v>74.599999999999994</v>
      </c>
      <c r="AB13" s="137">
        <v>75.3</v>
      </c>
      <c r="AC13" s="137">
        <v>74.900000000000006</v>
      </c>
      <c r="AD13" s="137">
        <v>74.400000000000006</v>
      </c>
      <c r="AE13" s="851">
        <v>74.8</v>
      </c>
      <c r="AF13" s="1249">
        <v>75.900000000000006</v>
      </c>
    </row>
    <row r="14" spans="1:40" s="100" customFormat="1" ht="12.75">
      <c r="A14" s="134"/>
      <c r="B14" s="137" t="s">
        <v>42</v>
      </c>
      <c r="C14" s="180"/>
      <c r="D14" s="181"/>
      <c r="E14" s="181"/>
      <c r="F14" s="181"/>
      <c r="G14" s="181"/>
      <c r="H14" s="181"/>
      <c r="I14" s="181"/>
      <c r="J14" s="181"/>
      <c r="K14" s="182"/>
      <c r="L14" s="183"/>
      <c r="M14" s="183"/>
      <c r="N14" s="184">
        <v>73.599999999999994</v>
      </c>
      <c r="O14" s="185">
        <v>67.599999999999994</v>
      </c>
      <c r="P14" s="185">
        <v>60.4</v>
      </c>
      <c r="Q14" s="183">
        <v>62.7</v>
      </c>
      <c r="R14" s="186">
        <v>64.5</v>
      </c>
      <c r="S14" s="134"/>
      <c r="T14" s="138" t="s">
        <v>42</v>
      </c>
      <c r="U14" s="187">
        <v>64.5</v>
      </c>
      <c r="V14" s="188">
        <v>65.599999999999994</v>
      </c>
      <c r="W14" s="189">
        <v>68.8</v>
      </c>
      <c r="X14" s="189">
        <v>68.599999999999994</v>
      </c>
      <c r="Y14" s="189">
        <v>63</v>
      </c>
      <c r="Z14" s="190">
        <v>60</v>
      </c>
      <c r="AA14" s="190">
        <v>63.1</v>
      </c>
      <c r="AB14" s="137">
        <v>65.2</v>
      </c>
      <c r="AC14" s="137">
        <v>68.8</v>
      </c>
      <c r="AD14" s="137">
        <v>72.2</v>
      </c>
      <c r="AE14" s="851">
        <v>74</v>
      </c>
      <c r="AF14" s="1249">
        <v>74.3</v>
      </c>
    </row>
    <row r="15" spans="1:40" s="100" customFormat="1" ht="12.75">
      <c r="A15" s="134"/>
      <c r="B15" s="134" t="s">
        <v>43</v>
      </c>
      <c r="C15" s="230"/>
      <c r="D15" s="181"/>
      <c r="E15" s="181"/>
      <c r="F15" s="181"/>
      <c r="G15" s="181"/>
      <c r="H15" s="181"/>
      <c r="I15" s="181"/>
      <c r="J15" s="181"/>
      <c r="K15" s="182"/>
      <c r="L15" s="183"/>
      <c r="M15" s="183"/>
      <c r="N15" s="184"/>
      <c r="O15" s="185"/>
      <c r="P15" s="185"/>
      <c r="Q15" s="231">
        <v>135110</v>
      </c>
      <c r="R15" s="232">
        <v>172113</v>
      </c>
      <c r="S15" s="134"/>
      <c r="T15" s="144" t="s">
        <v>43</v>
      </c>
      <c r="U15" s="187">
        <v>172113</v>
      </c>
      <c r="V15" s="233">
        <v>217105</v>
      </c>
      <c r="W15" s="234">
        <v>207688</v>
      </c>
      <c r="X15" s="234">
        <v>233228</v>
      </c>
      <c r="Y15" s="234">
        <v>359316</v>
      </c>
      <c r="Z15" s="235"/>
      <c r="AA15" s="236">
        <v>56.4</v>
      </c>
      <c r="AB15" s="137">
        <v>53.5</v>
      </c>
      <c r="AC15" s="137">
        <v>44.3</v>
      </c>
      <c r="AD15" s="137">
        <v>48.9</v>
      </c>
      <c r="AE15" s="851"/>
      <c r="AF15" s="1249"/>
    </row>
    <row r="16" spans="1:40" s="57" customFormat="1" ht="12.75">
      <c r="A16" s="141"/>
      <c r="B16" s="141" t="s">
        <v>44</v>
      </c>
      <c r="C16" s="237">
        <v>67</v>
      </c>
      <c r="D16" s="238">
        <v>69</v>
      </c>
      <c r="E16" s="238">
        <v>70</v>
      </c>
      <c r="F16" s="238">
        <v>70</v>
      </c>
      <c r="G16" s="238">
        <v>71</v>
      </c>
      <c r="H16" s="238">
        <v>70</v>
      </c>
      <c r="I16" s="239">
        <v>65</v>
      </c>
      <c r="J16" s="239">
        <v>64</v>
      </c>
      <c r="K16" s="240">
        <v>64.5</v>
      </c>
      <c r="L16" s="241">
        <v>58.9</v>
      </c>
      <c r="M16" s="241">
        <v>53.1</v>
      </c>
      <c r="N16" s="242">
        <v>48.7</v>
      </c>
      <c r="O16" s="243">
        <v>44</v>
      </c>
      <c r="P16" s="243">
        <v>42</v>
      </c>
      <c r="Q16" s="241">
        <v>61.2</v>
      </c>
      <c r="R16" s="244">
        <v>63.3</v>
      </c>
      <c r="S16" s="141"/>
      <c r="T16" s="145" t="s">
        <v>44</v>
      </c>
      <c r="U16" s="245">
        <v>63.3</v>
      </c>
      <c r="V16" s="246">
        <v>68.900000000000006</v>
      </c>
      <c r="W16" s="247">
        <v>70.7</v>
      </c>
      <c r="X16" s="247">
        <v>70.900000000000006</v>
      </c>
      <c r="Y16" s="247">
        <v>70.599999999999994</v>
      </c>
      <c r="Z16" s="248">
        <v>70.3</v>
      </c>
      <c r="AA16" s="248">
        <v>71.900000000000006</v>
      </c>
      <c r="AB16" s="142">
        <v>74.5</v>
      </c>
      <c r="AC16" s="142">
        <v>77.3</v>
      </c>
      <c r="AD16" s="142">
        <v>77.8</v>
      </c>
      <c r="AE16" s="280">
        <v>79.2</v>
      </c>
      <c r="AF16" s="1253">
        <v>69.099999999999994</v>
      </c>
    </row>
    <row r="17" spans="1:32" s="57" customFormat="1" ht="12.75">
      <c r="A17" s="134" t="s">
        <v>67</v>
      </c>
      <c r="B17" s="134" t="s">
        <v>36</v>
      </c>
      <c r="C17" s="215">
        <v>6.2</v>
      </c>
      <c r="D17" s="216">
        <v>6.3</v>
      </c>
      <c r="E17" s="217">
        <v>6.3</v>
      </c>
      <c r="F17" s="217">
        <v>6.1</v>
      </c>
      <c r="G17" s="217">
        <v>5.7</v>
      </c>
      <c r="H17" s="249">
        <v>5.7</v>
      </c>
      <c r="I17" s="250">
        <v>5.4</v>
      </c>
      <c r="J17" s="250">
        <v>5.2</v>
      </c>
      <c r="K17" s="251">
        <v>5.3</v>
      </c>
      <c r="L17" s="219">
        <v>5.5</v>
      </c>
      <c r="M17" s="219">
        <v>5.4</v>
      </c>
      <c r="N17" s="220">
        <v>5.22</v>
      </c>
      <c r="O17" s="221">
        <v>5.2</v>
      </c>
      <c r="P17" s="221">
        <v>4.7</v>
      </c>
      <c r="Q17" s="219">
        <v>5.2</v>
      </c>
      <c r="R17" s="222">
        <v>5</v>
      </c>
      <c r="S17" s="134" t="s">
        <v>67</v>
      </c>
      <c r="T17" s="144" t="s">
        <v>36</v>
      </c>
      <c r="U17" s="223">
        <v>5</v>
      </c>
      <c r="V17" s="224">
        <v>4.7</v>
      </c>
      <c r="W17" s="225">
        <v>4.5</v>
      </c>
      <c r="X17" s="225">
        <v>4.7</v>
      </c>
      <c r="Y17" s="225">
        <v>4.4000000000000004</v>
      </c>
      <c r="Z17" s="226">
        <v>4</v>
      </c>
      <c r="AA17" s="226">
        <v>3.6576804268463898</v>
      </c>
      <c r="AB17" s="252">
        <v>3.2</v>
      </c>
      <c r="AC17" s="252">
        <v>2.7</v>
      </c>
      <c r="AD17" s="252">
        <v>2.4</v>
      </c>
      <c r="AE17" s="850">
        <v>2.4720615227341374</v>
      </c>
      <c r="AF17" s="1249">
        <v>2.4</v>
      </c>
    </row>
    <row r="18" spans="1:32" s="57" customFormat="1" ht="15" customHeight="1">
      <c r="A18" s="134"/>
      <c r="B18" s="137" t="s">
        <v>38</v>
      </c>
      <c r="C18" s="228" t="s">
        <v>66</v>
      </c>
      <c r="D18" s="229">
        <v>4.3</v>
      </c>
      <c r="E18" s="229">
        <v>4.7</v>
      </c>
      <c r="F18" s="229">
        <v>4.7</v>
      </c>
      <c r="G18" s="229">
        <v>3.9</v>
      </c>
      <c r="H18" s="253">
        <v>3.3</v>
      </c>
      <c r="I18" s="254">
        <v>3.3</v>
      </c>
      <c r="J18" s="254">
        <v>3.5</v>
      </c>
      <c r="K18" s="255" t="s">
        <v>68</v>
      </c>
      <c r="L18" s="183" t="s">
        <v>68</v>
      </c>
      <c r="M18" s="183" t="s">
        <v>68</v>
      </c>
      <c r="N18" s="184" t="s">
        <v>68</v>
      </c>
      <c r="O18" s="185" t="s">
        <v>68</v>
      </c>
      <c r="P18" s="185" t="s">
        <v>68</v>
      </c>
      <c r="Q18" s="183" t="s">
        <v>68</v>
      </c>
      <c r="R18" s="186" t="s">
        <v>68</v>
      </c>
      <c r="S18" s="134"/>
      <c r="T18" s="138" t="s">
        <v>38</v>
      </c>
      <c r="U18" s="187" t="s">
        <v>68</v>
      </c>
      <c r="V18" s="188" t="s">
        <v>68</v>
      </c>
      <c r="W18" s="189" t="s">
        <v>68</v>
      </c>
      <c r="X18" s="189" t="s">
        <v>68</v>
      </c>
      <c r="Y18" s="189">
        <v>0.2</v>
      </c>
      <c r="Z18" s="190">
        <v>0.64</v>
      </c>
      <c r="AA18" s="190">
        <v>0.6</v>
      </c>
      <c r="AB18" s="256">
        <v>0.6</v>
      </c>
      <c r="AC18" s="256">
        <v>0.6</v>
      </c>
      <c r="AD18" s="256">
        <v>0.6</v>
      </c>
      <c r="AE18" s="850">
        <v>0.70000000000000007</v>
      </c>
      <c r="AF18" s="1249">
        <v>0.7</v>
      </c>
    </row>
    <row r="19" spans="1:32" s="100" customFormat="1" ht="12.75">
      <c r="A19" s="134"/>
      <c r="B19" s="137" t="s">
        <v>42</v>
      </c>
      <c r="C19" s="180"/>
      <c r="D19" s="181" t="s">
        <v>68</v>
      </c>
      <c r="E19" s="181"/>
      <c r="F19" s="181"/>
      <c r="G19" s="181"/>
      <c r="H19" s="181"/>
      <c r="I19" s="181"/>
      <c r="J19" s="181"/>
      <c r="K19" s="182"/>
      <c r="L19" s="183"/>
      <c r="M19" s="183"/>
      <c r="N19" s="257" t="s">
        <v>68</v>
      </c>
      <c r="O19" s="258" t="s">
        <v>68</v>
      </c>
      <c r="P19" s="258" t="s">
        <v>68</v>
      </c>
      <c r="Q19" s="259" t="s">
        <v>68</v>
      </c>
      <c r="R19" s="260" t="s">
        <v>68</v>
      </c>
      <c r="S19" s="134"/>
      <c r="T19" s="138" t="s">
        <v>42</v>
      </c>
      <c r="U19" s="187" t="s">
        <v>68</v>
      </c>
      <c r="V19" s="261" t="s">
        <v>68</v>
      </c>
      <c r="W19" s="262" t="s">
        <v>68</v>
      </c>
      <c r="X19" s="262" t="s">
        <v>68</v>
      </c>
      <c r="Y19" s="262" t="s">
        <v>68</v>
      </c>
      <c r="Z19" s="263" t="s">
        <v>68</v>
      </c>
      <c r="AA19" s="263" t="s">
        <v>68</v>
      </c>
      <c r="AB19" s="256" t="s">
        <v>66</v>
      </c>
      <c r="AC19" s="256" t="s">
        <v>66</v>
      </c>
      <c r="AD19" s="256" t="s">
        <v>66</v>
      </c>
      <c r="AE19" s="256" t="s">
        <v>66</v>
      </c>
      <c r="AF19" s="1250" t="s">
        <v>68</v>
      </c>
    </row>
    <row r="20" spans="1:32" s="100" customFormat="1" ht="18" customHeight="1">
      <c r="A20" s="134"/>
      <c r="B20" s="134" t="s">
        <v>43</v>
      </c>
      <c r="C20" s="180"/>
      <c r="D20" s="181"/>
      <c r="E20" s="181"/>
      <c r="F20" s="181"/>
      <c r="G20" s="181"/>
      <c r="H20" s="181"/>
      <c r="I20" s="181"/>
      <c r="J20" s="181"/>
      <c r="K20" s="182"/>
      <c r="L20" s="183"/>
      <c r="M20" s="183"/>
      <c r="N20" s="257"/>
      <c r="O20" s="258"/>
      <c r="P20" s="258"/>
      <c r="Q20" s="259" t="s">
        <v>68</v>
      </c>
      <c r="R20" s="260" t="s">
        <v>68</v>
      </c>
      <c r="S20" s="134"/>
      <c r="T20" s="144" t="s">
        <v>43</v>
      </c>
      <c r="U20" s="187" t="s">
        <v>68</v>
      </c>
      <c r="V20" s="261" t="s">
        <v>68</v>
      </c>
      <c r="W20" s="262" t="s">
        <v>68</v>
      </c>
      <c r="X20" s="262" t="s">
        <v>68</v>
      </c>
      <c r="Y20" s="262" t="s">
        <v>68</v>
      </c>
      <c r="Z20" s="263" t="s">
        <v>68</v>
      </c>
      <c r="AA20" s="263" t="s">
        <v>68</v>
      </c>
      <c r="AB20" s="256" t="s">
        <v>66</v>
      </c>
      <c r="AC20" s="256" t="s">
        <v>66</v>
      </c>
      <c r="AD20" s="256" t="s">
        <v>66</v>
      </c>
      <c r="AE20" s="256" t="s">
        <v>66</v>
      </c>
      <c r="AF20" s="1250" t="s">
        <v>68</v>
      </c>
    </row>
    <row r="21" spans="1:32" s="57" customFormat="1" ht="15.75" customHeight="1">
      <c r="A21" s="141"/>
      <c r="B21" s="141" t="s">
        <v>44</v>
      </c>
      <c r="C21" s="237" t="s">
        <v>66</v>
      </c>
      <c r="D21" s="238" t="s">
        <v>66</v>
      </c>
      <c r="E21" s="238" t="s">
        <v>66</v>
      </c>
      <c r="F21" s="238" t="s">
        <v>69</v>
      </c>
      <c r="G21" s="238" t="s">
        <v>69</v>
      </c>
      <c r="H21" s="238" t="s">
        <v>69</v>
      </c>
      <c r="I21" s="264" t="s">
        <v>69</v>
      </c>
      <c r="J21" s="264" t="s">
        <v>69</v>
      </c>
      <c r="K21" s="265" t="s">
        <v>68</v>
      </c>
      <c r="L21" s="241" t="s">
        <v>68</v>
      </c>
      <c r="M21" s="241" t="s">
        <v>68</v>
      </c>
      <c r="N21" s="242" t="s">
        <v>68</v>
      </c>
      <c r="O21" s="243" t="s">
        <v>68</v>
      </c>
      <c r="P21" s="243" t="s">
        <v>68</v>
      </c>
      <c r="Q21" s="241" t="s">
        <v>68</v>
      </c>
      <c r="R21" s="244" t="s">
        <v>68</v>
      </c>
      <c r="S21" s="141"/>
      <c r="T21" s="145" t="s">
        <v>44</v>
      </c>
      <c r="U21" s="245" t="s">
        <v>68</v>
      </c>
      <c r="V21" s="246" t="s">
        <v>68</v>
      </c>
      <c r="W21" s="247" t="s">
        <v>68</v>
      </c>
      <c r="X21" s="247" t="s">
        <v>68</v>
      </c>
      <c r="Y21" s="247" t="s">
        <v>70</v>
      </c>
      <c r="Z21" s="248" t="s">
        <v>70</v>
      </c>
      <c r="AA21" s="248" t="s">
        <v>70</v>
      </c>
      <c r="AB21" s="266" t="s">
        <v>68</v>
      </c>
      <c r="AC21" s="266" t="s">
        <v>68</v>
      </c>
      <c r="AD21" s="266" t="s">
        <v>68</v>
      </c>
      <c r="AE21" s="266" t="s">
        <v>68</v>
      </c>
      <c r="AF21" s="1254" t="s">
        <v>68</v>
      </c>
    </row>
    <row r="22" spans="1:32" s="57" customFormat="1" ht="12.75">
      <c r="A22" s="134" t="s">
        <v>71</v>
      </c>
      <c r="B22" s="134" t="s">
        <v>36</v>
      </c>
      <c r="C22" s="215">
        <v>48</v>
      </c>
      <c r="D22" s="216">
        <v>51</v>
      </c>
      <c r="E22" s="217">
        <v>51</v>
      </c>
      <c r="F22" s="217">
        <v>51</v>
      </c>
      <c r="G22" s="217">
        <v>46</v>
      </c>
      <c r="H22" s="217">
        <v>48</v>
      </c>
      <c r="I22" s="216">
        <v>45</v>
      </c>
      <c r="J22" s="216">
        <v>43</v>
      </c>
      <c r="K22" s="218">
        <v>40.4</v>
      </c>
      <c r="L22" s="219">
        <v>36.5</v>
      </c>
      <c r="M22" s="219">
        <v>32.700000000000003</v>
      </c>
      <c r="N22" s="220">
        <v>32.9</v>
      </c>
      <c r="O22" s="221">
        <v>29.7</v>
      </c>
      <c r="P22" s="221">
        <v>25.5</v>
      </c>
      <c r="Q22" s="219">
        <v>26.7</v>
      </c>
      <c r="R22" s="222">
        <v>28</v>
      </c>
      <c r="S22" s="134" t="s">
        <v>71</v>
      </c>
      <c r="T22" s="144" t="s">
        <v>36</v>
      </c>
      <c r="U22" s="223">
        <v>28</v>
      </c>
      <c r="V22" s="224">
        <v>26.7</v>
      </c>
      <c r="W22" s="225">
        <v>24.3</v>
      </c>
      <c r="X22" s="225">
        <v>22.1</v>
      </c>
      <c r="Y22" s="225">
        <v>19.5</v>
      </c>
      <c r="Z22" s="226">
        <v>18.100000000000001</v>
      </c>
      <c r="AA22" s="226">
        <v>18.165897150135301</v>
      </c>
      <c r="AB22" s="227">
        <v>16.399999999999999</v>
      </c>
      <c r="AC22" s="227">
        <v>14.6</v>
      </c>
      <c r="AD22" s="227">
        <v>12.3</v>
      </c>
      <c r="AE22" s="850">
        <v>12.252663622526635</v>
      </c>
      <c r="AF22" s="1249">
        <v>11.6</v>
      </c>
    </row>
    <row r="23" spans="1:32" s="57" customFormat="1" ht="15" customHeight="1">
      <c r="A23" s="134" t="s">
        <v>72</v>
      </c>
      <c r="B23" s="137" t="s">
        <v>38</v>
      </c>
      <c r="C23" s="180">
        <v>13667</v>
      </c>
      <c r="D23" s="181">
        <v>13742</v>
      </c>
      <c r="E23" s="181">
        <v>14157</v>
      </c>
      <c r="F23" s="181">
        <v>14157</v>
      </c>
      <c r="G23" s="181">
        <v>16948</v>
      </c>
      <c r="H23" s="181">
        <v>19962</v>
      </c>
      <c r="I23" s="181">
        <v>21847</v>
      </c>
      <c r="J23" s="181">
        <v>22217</v>
      </c>
      <c r="K23" s="182">
        <v>24008</v>
      </c>
      <c r="L23" s="267">
        <v>23054</v>
      </c>
      <c r="M23" s="267">
        <v>26373</v>
      </c>
      <c r="N23" s="268">
        <v>33077</v>
      </c>
      <c r="O23" s="181">
        <v>31483</v>
      </c>
      <c r="P23" s="181">
        <v>24589</v>
      </c>
      <c r="Q23" s="231">
        <v>28300</v>
      </c>
      <c r="R23" s="232">
        <v>27112</v>
      </c>
      <c r="S23" s="134" t="s">
        <v>72</v>
      </c>
      <c r="T23" s="138" t="s">
        <v>38</v>
      </c>
      <c r="U23" s="269">
        <v>27112</v>
      </c>
      <c r="V23" s="270">
        <v>25388</v>
      </c>
      <c r="W23" s="271">
        <v>25158</v>
      </c>
      <c r="X23" s="271">
        <v>26174</v>
      </c>
      <c r="Y23" s="272">
        <v>32.799999999999997</v>
      </c>
      <c r="Z23" s="273">
        <v>32.229999999999997</v>
      </c>
      <c r="AA23" s="273">
        <v>30.7</v>
      </c>
      <c r="AB23" s="137">
        <v>29.2</v>
      </c>
      <c r="AC23" s="137">
        <v>30.5</v>
      </c>
      <c r="AD23" s="137">
        <v>30.6</v>
      </c>
      <c r="AE23" s="850">
        <v>29.9</v>
      </c>
      <c r="AF23" s="1249">
        <v>33.9</v>
      </c>
    </row>
    <row r="24" spans="1:32" s="100" customFormat="1" ht="12.75">
      <c r="A24" s="134"/>
      <c r="B24" s="137" t="s">
        <v>42</v>
      </c>
      <c r="C24" s="180"/>
      <c r="D24" s="181"/>
      <c r="E24" s="181"/>
      <c r="F24" s="181"/>
      <c r="G24" s="181"/>
      <c r="H24" s="181"/>
      <c r="I24" s="181"/>
      <c r="J24" s="181"/>
      <c r="K24" s="182"/>
      <c r="L24" s="183"/>
      <c r="M24" s="183"/>
      <c r="N24" s="184">
        <v>20.6</v>
      </c>
      <c r="O24" s="185">
        <v>26</v>
      </c>
      <c r="P24" s="185">
        <v>28</v>
      </c>
      <c r="Q24" s="183">
        <v>21.2</v>
      </c>
      <c r="R24" s="186">
        <v>17.100000000000001</v>
      </c>
      <c r="S24" s="134"/>
      <c r="T24" s="138" t="s">
        <v>42</v>
      </c>
      <c r="U24" s="269">
        <v>17.100000000000001</v>
      </c>
      <c r="V24" s="188">
        <v>17.100000000000001</v>
      </c>
      <c r="W24" s="189">
        <v>13</v>
      </c>
      <c r="X24" s="189">
        <v>11.4</v>
      </c>
      <c r="Y24" s="189">
        <v>11.5</v>
      </c>
      <c r="Z24" s="190">
        <v>8.3000000000000007</v>
      </c>
      <c r="AA24" s="190">
        <v>6.9</v>
      </c>
      <c r="AB24" s="227">
        <v>6.4</v>
      </c>
      <c r="AC24" s="227">
        <v>5.5</v>
      </c>
      <c r="AD24" s="227">
        <v>4.4000000000000004</v>
      </c>
      <c r="AE24" s="850">
        <v>4.7</v>
      </c>
      <c r="AF24" s="1249">
        <v>3.8</v>
      </c>
    </row>
    <row r="25" spans="1:32" s="100" customFormat="1" ht="16.149999999999999" customHeight="1">
      <c r="A25" s="134"/>
      <c r="B25" s="137" t="s">
        <v>43</v>
      </c>
      <c r="C25" s="180"/>
      <c r="D25" s="181"/>
      <c r="E25" s="181"/>
      <c r="F25" s="181"/>
      <c r="G25" s="181"/>
      <c r="H25" s="181"/>
      <c r="I25" s="181"/>
      <c r="J25" s="181"/>
      <c r="K25" s="182"/>
      <c r="L25" s="183"/>
      <c r="M25" s="183"/>
      <c r="N25" s="184"/>
      <c r="O25" s="185"/>
      <c r="P25" s="185"/>
      <c r="Q25" s="274" t="s">
        <v>68</v>
      </c>
      <c r="R25" s="275" t="s">
        <v>68</v>
      </c>
      <c r="S25" s="134"/>
      <c r="T25" s="144" t="s">
        <v>43</v>
      </c>
      <c r="U25" s="276" t="s">
        <v>68</v>
      </c>
      <c r="V25" s="277" t="s">
        <v>68</v>
      </c>
      <c r="W25" s="278" t="s">
        <v>68</v>
      </c>
      <c r="X25" s="278" t="s">
        <v>68</v>
      </c>
      <c r="Y25" s="278" t="s">
        <v>68</v>
      </c>
      <c r="Z25" s="279" t="s">
        <v>68</v>
      </c>
      <c r="AA25" s="190">
        <v>14.7</v>
      </c>
      <c r="AB25" s="137">
        <v>13.3</v>
      </c>
      <c r="AC25" s="137">
        <v>11.4</v>
      </c>
      <c r="AD25" s="137">
        <v>13</v>
      </c>
      <c r="AE25" s="850"/>
      <c r="AF25" s="850"/>
    </row>
    <row r="26" spans="1:32" s="57" customFormat="1" ht="12.75">
      <c r="A26" s="141"/>
      <c r="B26" s="141" t="s">
        <v>44</v>
      </c>
      <c r="C26" s="237">
        <v>5.4</v>
      </c>
      <c r="D26" s="238">
        <v>6.7</v>
      </c>
      <c r="E26" s="238">
        <v>6</v>
      </c>
      <c r="F26" s="238">
        <v>6</v>
      </c>
      <c r="G26" s="238" t="s">
        <v>69</v>
      </c>
      <c r="H26" s="238">
        <v>5</v>
      </c>
      <c r="I26" s="239">
        <v>4</v>
      </c>
      <c r="J26" s="239">
        <v>3</v>
      </c>
      <c r="K26" s="240">
        <v>2.5</v>
      </c>
      <c r="L26" s="209">
        <v>2.2999999999999998</v>
      </c>
      <c r="M26" s="241">
        <v>2.2000000000000002</v>
      </c>
      <c r="N26" s="242">
        <v>2.2000000000000002</v>
      </c>
      <c r="O26" s="243">
        <v>3.8</v>
      </c>
      <c r="P26" s="243">
        <v>6.1</v>
      </c>
      <c r="Q26" s="241">
        <v>5.9</v>
      </c>
      <c r="R26" s="244">
        <v>5.7</v>
      </c>
      <c r="S26" s="141"/>
      <c r="T26" s="145" t="s">
        <v>44</v>
      </c>
      <c r="U26" s="245">
        <v>5.7</v>
      </c>
      <c r="V26" s="246">
        <v>4.5999999999999996</v>
      </c>
      <c r="W26" s="247">
        <v>3.8</v>
      </c>
      <c r="X26" s="247">
        <v>3.7</v>
      </c>
      <c r="Y26" s="247">
        <v>2.7</v>
      </c>
      <c r="Z26" s="248">
        <v>3.7</v>
      </c>
      <c r="AA26" s="248">
        <v>3.1</v>
      </c>
      <c r="AB26" s="142">
        <v>2.7</v>
      </c>
      <c r="AC26" s="280">
        <v>2</v>
      </c>
      <c r="AD26" s="280">
        <v>2</v>
      </c>
      <c r="AE26" s="280">
        <v>1.6</v>
      </c>
      <c r="AF26" s="280">
        <v>1.4</v>
      </c>
    </row>
    <row r="27" spans="1:32" s="57" customFormat="1" ht="15" customHeight="1">
      <c r="A27" s="134" t="s">
        <v>73</v>
      </c>
      <c r="B27" s="134" t="s">
        <v>36</v>
      </c>
      <c r="C27" s="215">
        <v>59600</v>
      </c>
      <c r="D27" s="217">
        <v>57900</v>
      </c>
      <c r="E27" s="217">
        <v>67700</v>
      </c>
      <c r="F27" s="217">
        <v>77600</v>
      </c>
      <c r="G27" s="217">
        <v>90100</v>
      </c>
      <c r="H27" s="217">
        <v>109800</v>
      </c>
      <c r="I27" s="216">
        <v>118300</v>
      </c>
      <c r="J27" s="216">
        <v>102700</v>
      </c>
      <c r="K27" s="218">
        <v>104413</v>
      </c>
      <c r="L27" s="281">
        <v>112415</v>
      </c>
      <c r="M27" s="281">
        <v>111557</v>
      </c>
      <c r="N27" s="282">
        <v>124000</v>
      </c>
      <c r="O27" s="216">
        <v>136021</v>
      </c>
      <c r="P27" s="216">
        <v>134849</v>
      </c>
      <c r="Q27" s="281">
        <v>140946</v>
      </c>
      <c r="R27" s="283">
        <v>123326</v>
      </c>
      <c r="S27" s="284"/>
      <c r="T27" s="230"/>
      <c r="U27" s="285"/>
      <c r="V27" s="218"/>
      <c r="W27" s="286"/>
      <c r="X27" s="286"/>
      <c r="Y27" s="286"/>
      <c r="Z27" s="287"/>
      <c r="AA27" s="287"/>
      <c r="AB27" s="287"/>
      <c r="AC27" s="287"/>
      <c r="AD27" s="287"/>
      <c r="AE27" s="287"/>
      <c r="AF27" s="284"/>
    </row>
    <row r="28" spans="1:32" s="57" customFormat="1" ht="12.75">
      <c r="A28" s="134" t="s">
        <v>74</v>
      </c>
      <c r="B28" s="137" t="s">
        <v>38</v>
      </c>
      <c r="C28" s="228" t="s">
        <v>66</v>
      </c>
      <c r="D28" s="229" t="s">
        <v>66</v>
      </c>
      <c r="E28" s="229" t="s">
        <v>66</v>
      </c>
      <c r="F28" s="229" t="s">
        <v>69</v>
      </c>
      <c r="G28" s="229" t="s">
        <v>69</v>
      </c>
      <c r="H28" s="229" t="s">
        <v>69</v>
      </c>
      <c r="I28" s="181" t="s">
        <v>69</v>
      </c>
      <c r="J28" s="181" t="s">
        <v>69</v>
      </c>
      <c r="K28" s="182" t="s">
        <v>69</v>
      </c>
      <c r="L28" s="267" t="s">
        <v>69</v>
      </c>
      <c r="M28" s="288" t="s">
        <v>68</v>
      </c>
      <c r="N28" s="289" t="s">
        <v>68</v>
      </c>
      <c r="O28" s="290" t="s">
        <v>68</v>
      </c>
      <c r="P28" s="290" t="s">
        <v>68</v>
      </c>
      <c r="Q28" s="267" t="s">
        <v>68</v>
      </c>
      <c r="R28" s="291" t="s">
        <v>68</v>
      </c>
      <c r="S28" s="292"/>
      <c r="T28" s="180"/>
      <c r="U28" s="293"/>
      <c r="V28" s="182"/>
      <c r="W28" s="294"/>
      <c r="X28" s="294"/>
      <c r="Y28" s="294"/>
      <c r="Z28" s="295"/>
      <c r="AA28" s="295"/>
      <c r="AB28" s="295"/>
      <c r="AC28" s="295"/>
      <c r="AD28" s="295"/>
      <c r="AE28" s="295"/>
      <c r="AF28" s="292"/>
    </row>
    <row r="29" spans="1:32" s="100" customFormat="1" ht="15" customHeight="1">
      <c r="A29" s="134"/>
      <c r="B29" s="137" t="s">
        <v>42</v>
      </c>
      <c r="C29" s="180"/>
      <c r="D29" s="181"/>
      <c r="E29" s="181"/>
      <c r="F29" s="181"/>
      <c r="G29" s="181"/>
      <c r="H29" s="181"/>
      <c r="I29" s="181"/>
      <c r="J29" s="181"/>
      <c r="K29" s="182"/>
      <c r="L29" s="183"/>
      <c r="M29" s="183"/>
      <c r="N29" s="184" t="s">
        <v>68</v>
      </c>
      <c r="O29" s="185" t="s">
        <v>68</v>
      </c>
      <c r="P29" s="185" t="s">
        <v>68</v>
      </c>
      <c r="Q29" s="183" t="s">
        <v>68</v>
      </c>
      <c r="R29" s="186" t="s">
        <v>68</v>
      </c>
      <c r="S29" s="296"/>
      <c r="T29" s="297"/>
      <c r="U29" s="293"/>
      <c r="V29" s="188"/>
      <c r="W29" s="189"/>
      <c r="X29" s="189"/>
      <c r="Y29" s="189"/>
      <c r="Z29" s="190"/>
      <c r="AA29" s="190"/>
      <c r="AB29" s="190"/>
      <c r="AC29" s="190"/>
      <c r="AD29" s="190"/>
      <c r="AE29" s="190"/>
      <c r="AF29" s="296"/>
    </row>
    <row r="30" spans="1:32" s="100" customFormat="1" ht="12.75">
      <c r="A30" s="134"/>
      <c r="B30" s="134" t="s">
        <v>43</v>
      </c>
      <c r="C30" s="180"/>
      <c r="D30" s="181"/>
      <c r="E30" s="181"/>
      <c r="F30" s="181"/>
      <c r="G30" s="181"/>
      <c r="H30" s="181"/>
      <c r="I30" s="181"/>
      <c r="J30" s="181"/>
      <c r="K30" s="182"/>
      <c r="L30" s="183"/>
      <c r="M30" s="183"/>
      <c r="N30" s="184"/>
      <c r="O30" s="185"/>
      <c r="P30" s="185"/>
      <c r="Q30" s="183" t="s">
        <v>68</v>
      </c>
      <c r="R30" s="186" t="s">
        <v>68</v>
      </c>
      <c r="S30" s="296"/>
      <c r="T30" s="297"/>
      <c r="U30" s="293"/>
      <c r="V30" s="188"/>
      <c r="W30" s="189"/>
      <c r="X30" s="189"/>
      <c r="Y30" s="189"/>
      <c r="Z30" s="190"/>
      <c r="AA30" s="190"/>
      <c r="AB30" s="190"/>
      <c r="AC30" s="190"/>
      <c r="AD30" s="190"/>
      <c r="AE30" s="190"/>
      <c r="AF30" s="296"/>
    </row>
    <row r="31" spans="1:32" s="57" customFormat="1" ht="12.75">
      <c r="A31" s="141"/>
      <c r="B31" s="141" t="s">
        <v>44</v>
      </c>
      <c r="C31" s="237" t="s">
        <v>66</v>
      </c>
      <c r="D31" s="238" t="s">
        <v>66</v>
      </c>
      <c r="E31" s="238" t="s">
        <v>66</v>
      </c>
      <c r="F31" s="238" t="s">
        <v>69</v>
      </c>
      <c r="G31" s="238" t="s">
        <v>69</v>
      </c>
      <c r="H31" s="238" t="s">
        <v>69</v>
      </c>
      <c r="I31" s="239" t="s">
        <v>69</v>
      </c>
      <c r="J31" s="239" t="s">
        <v>69</v>
      </c>
      <c r="K31" s="240" t="s">
        <v>69</v>
      </c>
      <c r="L31" s="298" t="s">
        <v>69</v>
      </c>
      <c r="M31" s="299" t="s">
        <v>68</v>
      </c>
      <c r="N31" s="300" t="s">
        <v>68</v>
      </c>
      <c r="O31" s="301" t="s">
        <v>68</v>
      </c>
      <c r="P31" s="301" t="s">
        <v>68</v>
      </c>
      <c r="Q31" s="281" t="s">
        <v>68</v>
      </c>
      <c r="R31" s="283" t="s">
        <v>68</v>
      </c>
      <c r="S31" s="284"/>
      <c r="T31" s="230"/>
      <c r="U31" s="285"/>
      <c r="V31" s="218"/>
      <c r="W31" s="286"/>
      <c r="X31" s="286"/>
      <c r="Y31" s="286"/>
      <c r="Z31" s="287"/>
      <c r="AA31" s="287"/>
      <c r="AB31" s="287"/>
      <c r="AC31" s="287"/>
      <c r="AD31" s="287"/>
      <c r="AE31" s="287"/>
      <c r="AF31" s="284"/>
    </row>
    <row r="32" spans="1:32" s="57" customFormat="1" ht="12.75">
      <c r="A32" s="134" t="s">
        <v>75</v>
      </c>
      <c r="B32" s="134" t="s">
        <v>36</v>
      </c>
      <c r="C32" s="215">
        <v>18.600000000000001</v>
      </c>
      <c r="D32" s="217">
        <v>17.2</v>
      </c>
      <c r="E32" s="217">
        <v>17.2</v>
      </c>
      <c r="F32" s="217">
        <v>18.899999999999999</v>
      </c>
      <c r="G32" s="217">
        <v>20.6</v>
      </c>
      <c r="H32" s="249">
        <v>27.3</v>
      </c>
      <c r="I32" s="250">
        <v>26</v>
      </c>
      <c r="J32" s="250">
        <v>18.5</v>
      </c>
      <c r="K32" s="251">
        <v>17.399999999999999</v>
      </c>
      <c r="L32" s="302">
        <v>19.600000000000001</v>
      </c>
      <c r="M32" s="303">
        <v>17.7</v>
      </c>
      <c r="N32" s="304">
        <v>17.600000000000001</v>
      </c>
      <c r="O32" s="305">
        <v>18.899999999999999</v>
      </c>
      <c r="P32" s="305">
        <v>16.5</v>
      </c>
      <c r="Q32" s="303">
        <v>7.5</v>
      </c>
      <c r="R32" s="306">
        <v>7.7</v>
      </c>
      <c r="S32" s="307"/>
      <c r="T32" s="308"/>
      <c r="U32" s="309"/>
      <c r="V32" s="310"/>
      <c r="W32" s="311"/>
      <c r="X32" s="311"/>
      <c r="Y32" s="311"/>
      <c r="Z32" s="312"/>
      <c r="AA32" s="312"/>
      <c r="AB32" s="312"/>
      <c r="AC32" s="312"/>
      <c r="AD32" s="312"/>
      <c r="AE32" s="312"/>
      <c r="AF32" s="307"/>
    </row>
    <row r="33" spans="1:32" s="57" customFormat="1" ht="12.75">
      <c r="A33" s="134" t="s">
        <v>76</v>
      </c>
      <c r="B33" s="137" t="s">
        <v>38</v>
      </c>
      <c r="C33" s="228" t="s">
        <v>66</v>
      </c>
      <c r="D33" s="229" t="s">
        <v>66</v>
      </c>
      <c r="E33" s="229" t="s">
        <v>66</v>
      </c>
      <c r="F33" s="229" t="s">
        <v>69</v>
      </c>
      <c r="G33" s="229" t="s">
        <v>69</v>
      </c>
      <c r="H33" s="229" t="s">
        <v>69</v>
      </c>
      <c r="I33" s="181" t="s">
        <v>69</v>
      </c>
      <c r="J33" s="181" t="s">
        <v>69</v>
      </c>
      <c r="K33" s="182" t="s">
        <v>69</v>
      </c>
      <c r="L33" s="267" t="s">
        <v>69</v>
      </c>
      <c r="M33" s="288" t="s">
        <v>68</v>
      </c>
      <c r="N33" s="289" t="s">
        <v>68</v>
      </c>
      <c r="O33" s="290" t="s">
        <v>68</v>
      </c>
      <c r="P33" s="290" t="s">
        <v>68</v>
      </c>
      <c r="Q33" s="267" t="s">
        <v>68</v>
      </c>
      <c r="R33" s="291" t="s">
        <v>68</v>
      </c>
      <c r="S33" s="292"/>
      <c r="T33" s="180"/>
      <c r="U33" s="293"/>
      <c r="V33" s="182"/>
      <c r="W33" s="294"/>
      <c r="X33" s="294"/>
      <c r="Y33" s="294"/>
      <c r="Z33" s="295"/>
      <c r="AA33" s="295"/>
      <c r="AB33" s="295"/>
      <c r="AC33" s="295"/>
      <c r="AD33" s="295"/>
      <c r="AE33" s="295"/>
      <c r="AF33" s="292"/>
    </row>
    <row r="34" spans="1:32" s="100" customFormat="1" ht="12.75">
      <c r="A34" s="134"/>
      <c r="B34" s="137" t="s">
        <v>42</v>
      </c>
      <c r="C34" s="180"/>
      <c r="D34" s="181"/>
      <c r="E34" s="181"/>
      <c r="F34" s="181"/>
      <c r="G34" s="181"/>
      <c r="H34" s="181"/>
      <c r="I34" s="181"/>
      <c r="J34" s="181"/>
      <c r="K34" s="182"/>
      <c r="L34" s="183"/>
      <c r="M34" s="183"/>
      <c r="N34" s="184" t="s">
        <v>68</v>
      </c>
      <c r="O34" s="185" t="s">
        <v>68</v>
      </c>
      <c r="P34" s="185" t="s">
        <v>68</v>
      </c>
      <c r="Q34" s="183" t="s">
        <v>68</v>
      </c>
      <c r="R34" s="186" t="s">
        <v>68</v>
      </c>
      <c r="S34" s="296"/>
      <c r="T34" s="297"/>
      <c r="U34" s="293"/>
      <c r="V34" s="188"/>
      <c r="W34" s="189"/>
      <c r="X34" s="189"/>
      <c r="Y34" s="189"/>
      <c r="Z34" s="190"/>
      <c r="AA34" s="190"/>
      <c r="AB34" s="190"/>
      <c r="AC34" s="190"/>
      <c r="AD34" s="190"/>
      <c r="AE34" s="190"/>
      <c r="AF34" s="296"/>
    </row>
    <row r="35" spans="1:32" s="100" customFormat="1" ht="12.75">
      <c r="A35" s="134"/>
      <c r="B35" s="134" t="s">
        <v>43</v>
      </c>
      <c r="C35" s="180"/>
      <c r="D35" s="181"/>
      <c r="E35" s="216"/>
      <c r="F35" s="216"/>
      <c r="G35" s="216"/>
      <c r="H35" s="216"/>
      <c r="I35" s="216"/>
      <c r="J35" s="216"/>
      <c r="K35" s="218"/>
      <c r="L35" s="219"/>
      <c r="M35" s="194"/>
      <c r="N35" s="195"/>
      <c r="O35" s="196"/>
      <c r="P35" s="196"/>
      <c r="Q35" s="183" t="s">
        <v>68</v>
      </c>
      <c r="R35" s="186" t="s">
        <v>68</v>
      </c>
      <c r="S35" s="296"/>
      <c r="T35" s="297"/>
      <c r="U35" s="293"/>
      <c r="V35" s="188"/>
      <c r="W35" s="189"/>
      <c r="X35" s="189"/>
      <c r="Y35" s="189"/>
      <c r="Z35" s="190"/>
      <c r="AA35" s="190"/>
      <c r="AB35" s="190"/>
      <c r="AC35" s="190"/>
      <c r="AD35" s="190"/>
      <c r="AE35" s="190"/>
      <c r="AF35" s="296"/>
    </row>
    <row r="36" spans="1:32" s="57" customFormat="1" ht="12.75">
      <c r="A36" s="141"/>
      <c r="B36" s="141" t="s">
        <v>44</v>
      </c>
      <c r="C36" s="237" t="s">
        <v>66</v>
      </c>
      <c r="D36" s="238" t="s">
        <v>66</v>
      </c>
      <c r="E36" s="238" t="s">
        <v>66</v>
      </c>
      <c r="F36" s="238" t="s">
        <v>69</v>
      </c>
      <c r="G36" s="238" t="s">
        <v>69</v>
      </c>
      <c r="H36" s="238" t="s">
        <v>69</v>
      </c>
      <c r="I36" s="239" t="s">
        <v>69</v>
      </c>
      <c r="J36" s="239" t="s">
        <v>69</v>
      </c>
      <c r="K36" s="240" t="s">
        <v>69</v>
      </c>
      <c r="L36" s="298" t="s">
        <v>69</v>
      </c>
      <c r="M36" s="313" t="s">
        <v>68</v>
      </c>
      <c r="N36" s="314" t="s">
        <v>68</v>
      </c>
      <c r="O36" s="315" t="s">
        <v>68</v>
      </c>
      <c r="P36" s="315" t="s">
        <v>68</v>
      </c>
      <c r="Q36" s="316" t="s">
        <v>68</v>
      </c>
      <c r="R36" s="317" t="s">
        <v>68</v>
      </c>
      <c r="S36" s="318"/>
      <c r="T36" s="204"/>
      <c r="U36" s="319"/>
      <c r="V36" s="206"/>
      <c r="W36" s="320"/>
      <c r="X36" s="320"/>
      <c r="Y36" s="320"/>
      <c r="Z36" s="321"/>
      <c r="AA36" s="321"/>
      <c r="AB36" s="321"/>
      <c r="AC36" s="321"/>
      <c r="AD36" s="321"/>
      <c r="AE36" s="321"/>
      <c r="AF36" s="318"/>
    </row>
    <row r="37" spans="1:32" s="57" customFormat="1" ht="12.75">
      <c r="A37" s="134" t="s">
        <v>77</v>
      </c>
      <c r="B37" s="134" t="s">
        <v>36</v>
      </c>
      <c r="C37" s="215">
        <v>11200</v>
      </c>
      <c r="D37" s="217">
        <v>11100</v>
      </c>
      <c r="E37" s="217">
        <v>14500</v>
      </c>
      <c r="F37" s="217">
        <v>16200</v>
      </c>
      <c r="G37" s="217">
        <v>15790</v>
      </c>
      <c r="H37" s="217">
        <v>15760</v>
      </c>
      <c r="I37" s="216">
        <v>16410</v>
      </c>
      <c r="J37" s="216">
        <v>21270</v>
      </c>
      <c r="K37" s="218">
        <v>20171</v>
      </c>
      <c r="L37" s="281">
        <v>18561</v>
      </c>
      <c r="M37" s="281">
        <v>19290</v>
      </c>
      <c r="N37" s="282">
        <v>19517</v>
      </c>
      <c r="O37" s="216">
        <v>18051</v>
      </c>
      <c r="P37" s="216">
        <v>20328</v>
      </c>
      <c r="Q37" s="281">
        <v>20474</v>
      </c>
      <c r="R37" s="283">
        <v>22205</v>
      </c>
      <c r="S37" s="134" t="s">
        <v>77</v>
      </c>
      <c r="T37" s="144" t="s">
        <v>36</v>
      </c>
      <c r="U37" s="285">
        <v>145531</v>
      </c>
      <c r="V37" s="218">
        <v>143267</v>
      </c>
      <c r="W37" s="286">
        <v>143968</v>
      </c>
      <c r="X37" s="286">
        <v>139038</v>
      </c>
      <c r="Y37" s="286">
        <v>114557</v>
      </c>
      <c r="Z37" s="287">
        <v>24422</v>
      </c>
      <c r="AA37" s="287">
        <v>96000</v>
      </c>
      <c r="AB37" s="852">
        <v>95643</v>
      </c>
      <c r="AC37" s="852">
        <v>98161</v>
      </c>
      <c r="AD37" s="852">
        <v>100708</v>
      </c>
      <c r="AE37" s="852">
        <v>109920</v>
      </c>
      <c r="AF37" s="852">
        <v>110022</v>
      </c>
    </row>
    <row r="38" spans="1:32" s="57" customFormat="1" ht="12.75">
      <c r="A38" s="134" t="s">
        <v>78</v>
      </c>
      <c r="B38" s="137" t="s">
        <v>38</v>
      </c>
      <c r="C38" s="228">
        <v>2148126</v>
      </c>
      <c r="D38" s="229">
        <v>2143765</v>
      </c>
      <c r="E38" s="229">
        <v>2155566</v>
      </c>
      <c r="F38" s="229">
        <v>2155566</v>
      </c>
      <c r="G38" s="229">
        <v>2152416</v>
      </c>
      <c r="H38" s="229">
        <v>2175739</v>
      </c>
      <c r="I38" s="181">
        <v>2189727</v>
      </c>
      <c r="J38" s="181">
        <v>2181211</v>
      </c>
      <c r="K38" s="182">
        <v>2105255</v>
      </c>
      <c r="L38" s="267">
        <v>1954334</v>
      </c>
      <c r="M38" s="267">
        <v>1805194</v>
      </c>
      <c r="N38" s="268">
        <v>1639081</v>
      </c>
      <c r="O38" s="181">
        <v>1500879</v>
      </c>
      <c r="P38" s="181">
        <v>870424</v>
      </c>
      <c r="Q38" s="267">
        <v>816024</v>
      </c>
      <c r="R38" s="291">
        <v>770994</v>
      </c>
      <c r="S38" s="134" t="s">
        <v>78</v>
      </c>
      <c r="T38" s="138" t="s">
        <v>38</v>
      </c>
      <c r="U38" s="293">
        <v>770994</v>
      </c>
      <c r="V38" s="182">
        <v>754091</v>
      </c>
      <c r="W38" s="294">
        <v>731521</v>
      </c>
      <c r="X38" s="294">
        <v>701836</v>
      </c>
      <c r="Y38" s="294">
        <v>674255</v>
      </c>
      <c r="Z38" s="295">
        <v>657453</v>
      </c>
      <c r="AA38" s="295">
        <v>643788</v>
      </c>
      <c r="AB38" s="853">
        <v>633244</v>
      </c>
      <c r="AC38" s="853">
        <v>619007</v>
      </c>
      <c r="AD38" s="853">
        <v>589694</v>
      </c>
      <c r="AE38" s="853">
        <v>556500</v>
      </c>
      <c r="AF38" s="853">
        <v>534292</v>
      </c>
    </row>
    <row r="39" spans="1:32" s="100" customFormat="1">
      <c r="A39" s="134" t="s">
        <v>79</v>
      </c>
      <c r="B39" s="137" t="s">
        <v>42</v>
      </c>
      <c r="C39" s="180"/>
      <c r="D39" s="181"/>
      <c r="E39" s="181"/>
      <c r="F39" s="181"/>
      <c r="G39" s="181"/>
      <c r="H39" s="181"/>
      <c r="I39" s="181"/>
      <c r="J39" s="181"/>
      <c r="K39" s="182"/>
      <c r="L39" s="183"/>
      <c r="M39" s="183"/>
      <c r="N39" s="268">
        <v>244332</v>
      </c>
      <c r="O39" s="181">
        <v>289835</v>
      </c>
      <c r="P39" s="181">
        <v>309586</v>
      </c>
      <c r="Q39" s="267">
        <v>235019</v>
      </c>
      <c r="R39" s="291">
        <v>241855</v>
      </c>
      <c r="S39" s="134" t="s">
        <v>99</v>
      </c>
      <c r="T39" s="138" t="s">
        <v>42</v>
      </c>
      <c r="U39" s="293">
        <v>241855</v>
      </c>
      <c r="V39" s="182">
        <v>236316</v>
      </c>
      <c r="W39" s="294">
        <v>251315</v>
      </c>
      <c r="X39" s="294">
        <v>286270</v>
      </c>
      <c r="Y39" s="294">
        <v>285816</v>
      </c>
      <c r="Z39" s="295">
        <v>292664</v>
      </c>
      <c r="AA39" s="295">
        <v>294257</v>
      </c>
      <c r="AB39" s="853">
        <v>235969</v>
      </c>
      <c r="AC39" s="853">
        <v>244276</v>
      </c>
      <c r="AD39" s="853">
        <v>238252</v>
      </c>
      <c r="AE39" s="853">
        <v>192153</v>
      </c>
      <c r="AF39" s="853">
        <v>189300</v>
      </c>
    </row>
    <row r="40" spans="1:32" s="100" customFormat="1" ht="12.75">
      <c r="A40" s="134"/>
      <c r="B40" s="134" t="s">
        <v>43</v>
      </c>
      <c r="C40" s="180"/>
      <c r="D40" s="181"/>
      <c r="E40" s="181"/>
      <c r="F40" s="181"/>
      <c r="G40" s="181"/>
      <c r="H40" s="181"/>
      <c r="I40" s="181"/>
      <c r="J40" s="181"/>
      <c r="K40" s="182"/>
      <c r="L40" s="183"/>
      <c r="M40" s="183"/>
      <c r="N40" s="268"/>
      <c r="O40" s="181"/>
      <c r="P40" s="181"/>
      <c r="Q40" s="183" t="s">
        <v>70</v>
      </c>
      <c r="R40" s="186" t="s">
        <v>70</v>
      </c>
      <c r="S40" s="134"/>
      <c r="T40" s="144" t="s">
        <v>43</v>
      </c>
      <c r="U40" s="293"/>
      <c r="V40" s="188"/>
      <c r="W40" s="189" t="s">
        <v>70</v>
      </c>
      <c r="X40" s="189" t="s">
        <v>70</v>
      </c>
      <c r="Y40" s="189" t="s">
        <v>70</v>
      </c>
      <c r="Z40" s="190" t="s">
        <v>70</v>
      </c>
      <c r="AA40" s="295">
        <v>466067</v>
      </c>
      <c r="AB40" s="853">
        <v>294079</v>
      </c>
      <c r="AC40" s="853">
        <v>266567</v>
      </c>
      <c r="AD40" s="853">
        <v>207422</v>
      </c>
      <c r="AE40" s="853">
        <v>315652</v>
      </c>
      <c r="AF40" s="853"/>
    </row>
    <row r="41" spans="1:32" s="57" customFormat="1" ht="12.75">
      <c r="A41" s="141"/>
      <c r="B41" s="141" t="s">
        <v>44</v>
      </c>
      <c r="C41" s="237" t="s">
        <v>66</v>
      </c>
      <c r="D41" s="238" t="s">
        <v>66</v>
      </c>
      <c r="E41" s="238" t="s">
        <v>66</v>
      </c>
      <c r="F41" s="238" t="s">
        <v>69</v>
      </c>
      <c r="G41" s="238" t="s">
        <v>69</v>
      </c>
      <c r="H41" s="238" t="s">
        <v>69</v>
      </c>
      <c r="I41" s="239" t="s">
        <v>69</v>
      </c>
      <c r="J41" s="239" t="s">
        <v>69</v>
      </c>
      <c r="K41" s="240" t="s">
        <v>69</v>
      </c>
      <c r="L41" s="298" t="s">
        <v>69</v>
      </c>
      <c r="M41" s="322" t="s">
        <v>68</v>
      </c>
      <c r="N41" s="323" t="s">
        <v>68</v>
      </c>
      <c r="O41" s="324" t="s">
        <v>68</v>
      </c>
      <c r="P41" s="324" t="s">
        <v>68</v>
      </c>
      <c r="Q41" s="298" t="s">
        <v>68</v>
      </c>
      <c r="R41" s="325" t="s">
        <v>68</v>
      </c>
      <c r="S41" s="141"/>
      <c r="T41" s="145" t="s">
        <v>44</v>
      </c>
      <c r="U41" s="326" t="s">
        <v>68</v>
      </c>
      <c r="V41" s="240" t="s">
        <v>68</v>
      </c>
      <c r="W41" s="327" t="s">
        <v>68</v>
      </c>
      <c r="X41" s="327" t="s">
        <v>68</v>
      </c>
      <c r="Y41" s="327" t="s">
        <v>68</v>
      </c>
      <c r="Z41" s="328" t="s">
        <v>68</v>
      </c>
      <c r="AA41" s="328" t="s">
        <v>68</v>
      </c>
      <c r="AB41" s="328" t="s">
        <v>68</v>
      </c>
      <c r="AC41" s="328" t="s">
        <v>66</v>
      </c>
      <c r="AD41" s="328" t="s">
        <v>66</v>
      </c>
      <c r="AE41" s="328" t="s">
        <v>66</v>
      </c>
      <c r="AF41" s="349" t="s">
        <v>68</v>
      </c>
    </row>
    <row r="42" spans="1:32" s="57" customFormat="1" ht="12.75">
      <c r="A42" s="134" t="s">
        <v>73</v>
      </c>
      <c r="B42" s="134" t="s">
        <v>36</v>
      </c>
      <c r="C42" s="215">
        <v>120200</v>
      </c>
      <c r="D42" s="217">
        <v>127000</v>
      </c>
      <c r="E42" s="217">
        <v>139500</v>
      </c>
      <c r="F42" s="217">
        <v>157700</v>
      </c>
      <c r="G42" s="217">
        <v>191600</v>
      </c>
      <c r="H42" s="217">
        <v>212200</v>
      </c>
      <c r="I42" s="216">
        <v>223700</v>
      </c>
      <c r="J42" s="216">
        <v>232100</v>
      </c>
      <c r="K42" s="218">
        <v>263475</v>
      </c>
      <c r="L42" s="281">
        <v>284414</v>
      </c>
      <c r="M42" s="281">
        <v>304116</v>
      </c>
      <c r="N42" s="282">
        <v>318298</v>
      </c>
      <c r="O42" s="216">
        <v>339043</v>
      </c>
      <c r="P42" s="216">
        <v>347861</v>
      </c>
      <c r="Q42" s="281">
        <v>346449</v>
      </c>
      <c r="R42" s="283">
        <v>355803</v>
      </c>
      <c r="S42" s="134" t="s">
        <v>73</v>
      </c>
      <c r="T42" s="144" t="s">
        <v>36</v>
      </c>
      <c r="U42" s="285">
        <v>355803</v>
      </c>
      <c r="V42" s="218">
        <v>363521</v>
      </c>
      <c r="W42" s="286">
        <v>377994</v>
      </c>
      <c r="X42" s="286">
        <v>396049</v>
      </c>
      <c r="Y42" s="286">
        <v>411632</v>
      </c>
      <c r="Z42" s="287">
        <v>409049</v>
      </c>
      <c r="AA42" s="287">
        <v>407443</v>
      </c>
      <c r="AB42" s="852">
        <v>371884</v>
      </c>
      <c r="AC42" s="852">
        <v>335293</v>
      </c>
      <c r="AD42" s="852">
        <v>320961</v>
      </c>
      <c r="AE42" s="852">
        <v>343667</v>
      </c>
      <c r="AF42" s="852">
        <v>394458</v>
      </c>
    </row>
    <row r="43" spans="1:32" s="57" customFormat="1">
      <c r="A43" s="134" t="s">
        <v>100</v>
      </c>
      <c r="B43" s="137" t="s">
        <v>38</v>
      </c>
      <c r="C43" s="228" t="s">
        <v>66</v>
      </c>
      <c r="D43" s="229" t="s">
        <v>66</v>
      </c>
      <c r="E43" s="229" t="s">
        <v>66</v>
      </c>
      <c r="F43" s="229" t="s">
        <v>66</v>
      </c>
      <c r="G43" s="229">
        <v>433020</v>
      </c>
      <c r="H43" s="229">
        <v>478363</v>
      </c>
      <c r="I43" s="181">
        <v>500420</v>
      </c>
      <c r="J43" s="181">
        <v>521435</v>
      </c>
      <c r="K43" s="182">
        <v>605949</v>
      </c>
      <c r="L43" s="267">
        <v>755138</v>
      </c>
      <c r="M43" s="267">
        <v>837887</v>
      </c>
      <c r="N43" s="268">
        <v>888198</v>
      </c>
      <c r="O43" s="181">
        <v>868025</v>
      </c>
      <c r="P43" s="181">
        <v>716812</v>
      </c>
      <c r="Q43" s="267">
        <v>573279</v>
      </c>
      <c r="R43" s="291">
        <v>448123</v>
      </c>
      <c r="S43" s="134" t="s">
        <v>80</v>
      </c>
      <c r="T43" s="138" t="s">
        <v>38</v>
      </c>
      <c r="U43" s="293">
        <v>448123</v>
      </c>
      <c r="V43" s="182">
        <v>319247</v>
      </c>
      <c r="W43" s="294">
        <v>196732</v>
      </c>
      <c r="X43" s="294">
        <v>186830</v>
      </c>
      <c r="Y43" s="294">
        <v>193390</v>
      </c>
      <c r="Z43" s="295">
        <v>175290</v>
      </c>
      <c r="AA43" s="295">
        <v>171508</v>
      </c>
      <c r="AB43" s="853">
        <v>168679</v>
      </c>
      <c r="AC43" s="853">
        <v>173494</v>
      </c>
      <c r="AD43" s="853">
        <v>179341</v>
      </c>
      <c r="AE43" s="853">
        <v>181409</v>
      </c>
      <c r="AF43" s="853">
        <v>171645</v>
      </c>
    </row>
    <row r="44" spans="1:32" s="100" customFormat="1" ht="12.75">
      <c r="A44" s="134"/>
      <c r="B44" s="137" t="s">
        <v>42</v>
      </c>
      <c r="C44" s="180"/>
      <c r="D44" s="181"/>
      <c r="E44" s="181"/>
      <c r="F44" s="181"/>
      <c r="G44" s="181"/>
      <c r="H44" s="181"/>
      <c r="I44" s="181"/>
      <c r="J44" s="181"/>
      <c r="K44" s="182"/>
      <c r="L44" s="183"/>
      <c r="M44" s="183"/>
      <c r="N44" s="268">
        <v>446295</v>
      </c>
      <c r="O44" s="181">
        <v>470245</v>
      </c>
      <c r="P44" s="181">
        <v>470245</v>
      </c>
      <c r="Q44" s="267">
        <v>520864</v>
      </c>
      <c r="R44" s="291">
        <v>528756</v>
      </c>
      <c r="S44" s="134"/>
      <c r="T44" s="138" t="s">
        <v>42</v>
      </c>
      <c r="U44" s="293">
        <v>528756</v>
      </c>
      <c r="V44" s="182">
        <v>523040</v>
      </c>
      <c r="W44" s="294">
        <v>184295</v>
      </c>
      <c r="X44" s="294">
        <v>171178</v>
      </c>
      <c r="Y44" s="294">
        <v>161770</v>
      </c>
      <c r="Z44" s="295">
        <v>154378</v>
      </c>
      <c r="AA44" s="295">
        <v>151352</v>
      </c>
      <c r="AB44" s="853">
        <v>166878</v>
      </c>
      <c r="AC44" s="853">
        <v>174064</v>
      </c>
      <c r="AD44" s="853">
        <v>206957</v>
      </c>
      <c r="AE44" s="853">
        <v>252431</v>
      </c>
      <c r="AF44" s="853">
        <v>275070</v>
      </c>
    </row>
    <row r="45" spans="1:32" s="100" customFormat="1" ht="12.75">
      <c r="A45" s="134"/>
      <c r="B45" s="134" t="s">
        <v>43</v>
      </c>
      <c r="C45" s="180"/>
      <c r="D45" s="181"/>
      <c r="E45" s="181"/>
      <c r="F45" s="181"/>
      <c r="G45" s="181"/>
      <c r="H45" s="181"/>
      <c r="I45" s="181"/>
      <c r="J45" s="181"/>
      <c r="K45" s="182"/>
      <c r="L45" s="183"/>
      <c r="M45" s="183"/>
      <c r="N45" s="268"/>
      <c r="O45" s="181"/>
      <c r="P45" s="181"/>
      <c r="Q45" s="183" t="s">
        <v>70</v>
      </c>
      <c r="R45" s="186" t="s">
        <v>70</v>
      </c>
      <c r="S45" s="134"/>
      <c r="T45" s="144" t="s">
        <v>43</v>
      </c>
      <c r="U45" s="293"/>
      <c r="V45" s="188"/>
      <c r="W45" s="189" t="s">
        <v>70</v>
      </c>
      <c r="X45" s="189" t="s">
        <v>70</v>
      </c>
      <c r="Y45" s="189" t="s">
        <v>70</v>
      </c>
      <c r="Z45" s="190" t="s">
        <v>70</v>
      </c>
      <c r="AA45" s="295">
        <v>1431757</v>
      </c>
      <c r="AB45" s="853">
        <v>1968203</v>
      </c>
      <c r="AC45" s="853">
        <v>2218145</v>
      </c>
      <c r="AD45" s="853">
        <v>2360652</v>
      </c>
      <c r="AE45" s="853">
        <v>2650405</v>
      </c>
      <c r="AF45" s="853">
        <v>2728640</v>
      </c>
    </row>
    <row r="46" spans="1:32" s="57" customFormat="1" ht="12.75">
      <c r="A46" s="141"/>
      <c r="B46" s="141" t="s">
        <v>44</v>
      </c>
      <c r="C46" s="237">
        <v>290500</v>
      </c>
      <c r="D46" s="238">
        <v>267662</v>
      </c>
      <c r="E46" s="238">
        <v>362797</v>
      </c>
      <c r="F46" s="238">
        <v>362797</v>
      </c>
      <c r="G46" s="238">
        <v>547626</v>
      </c>
      <c r="H46" s="238" t="s">
        <v>70</v>
      </c>
      <c r="I46" s="239" t="s">
        <v>70</v>
      </c>
      <c r="J46" s="239" t="s">
        <v>70</v>
      </c>
      <c r="K46" s="240">
        <v>526606</v>
      </c>
      <c r="L46" s="298">
        <v>603773</v>
      </c>
      <c r="M46" s="298">
        <v>701301</v>
      </c>
      <c r="N46" s="329">
        <v>763493</v>
      </c>
      <c r="O46" s="239">
        <v>809070</v>
      </c>
      <c r="P46" s="239">
        <v>731399</v>
      </c>
      <c r="Q46" s="298">
        <v>721801</v>
      </c>
      <c r="R46" s="325">
        <v>662457</v>
      </c>
      <c r="S46" s="141"/>
      <c r="T46" s="145" t="s">
        <v>44</v>
      </c>
      <c r="U46" s="326">
        <v>662457</v>
      </c>
      <c r="V46" s="240">
        <v>603898</v>
      </c>
      <c r="W46" s="327">
        <v>595361</v>
      </c>
      <c r="X46" s="327">
        <v>610227</v>
      </c>
      <c r="Y46" s="327">
        <v>565811</v>
      </c>
      <c r="Z46" s="328">
        <v>549741</v>
      </c>
      <c r="AA46" s="328">
        <v>546286</v>
      </c>
      <c r="AB46" s="854">
        <v>546792</v>
      </c>
      <c r="AC46" s="854">
        <v>578138</v>
      </c>
      <c r="AD46" s="854">
        <v>602777</v>
      </c>
      <c r="AE46" s="854">
        <v>666206</v>
      </c>
      <c r="AF46" s="854">
        <v>715979</v>
      </c>
    </row>
    <row r="47" spans="1:32" s="57" customFormat="1" ht="12.75">
      <c r="A47" s="134" t="s">
        <v>81</v>
      </c>
      <c r="B47" s="134" t="s">
        <v>36</v>
      </c>
      <c r="C47" s="215" t="s">
        <v>66</v>
      </c>
      <c r="D47" s="216">
        <v>15.8</v>
      </c>
      <c r="E47" s="217">
        <v>18.3</v>
      </c>
      <c r="F47" s="217">
        <v>18.3</v>
      </c>
      <c r="G47" s="217">
        <v>20.7</v>
      </c>
      <c r="H47" s="249">
        <v>20.7</v>
      </c>
      <c r="I47" s="250">
        <v>23</v>
      </c>
      <c r="J47" s="250">
        <v>20.8</v>
      </c>
      <c r="K47" s="251" t="s">
        <v>68</v>
      </c>
      <c r="L47" s="302">
        <v>26.1</v>
      </c>
      <c r="M47" s="302">
        <v>23.8</v>
      </c>
      <c r="N47" s="330">
        <v>22.837139019476201</v>
      </c>
      <c r="O47" s="250">
        <v>19</v>
      </c>
      <c r="P47" s="250">
        <v>20.2</v>
      </c>
      <c r="Q47" s="302">
        <v>21.8</v>
      </c>
      <c r="R47" s="331">
        <v>25.1</v>
      </c>
      <c r="S47" s="134" t="s">
        <v>81</v>
      </c>
      <c r="T47" s="144" t="s">
        <v>36</v>
      </c>
      <c r="U47" s="332">
        <v>7.7</v>
      </c>
      <c r="V47" s="251">
        <v>9.1</v>
      </c>
      <c r="W47" s="333">
        <v>9.1999999999999993</v>
      </c>
      <c r="X47" s="333">
        <v>9.1</v>
      </c>
      <c r="Y47" s="333">
        <v>5.5</v>
      </c>
      <c r="Z47" s="334">
        <v>5.0999999999999996</v>
      </c>
      <c r="AA47" s="334">
        <v>4.8</v>
      </c>
      <c r="AB47" s="227">
        <v>6.5</v>
      </c>
      <c r="AC47" s="227">
        <v>4.0999999999999996</v>
      </c>
      <c r="AD47" s="227">
        <v>4.3</v>
      </c>
      <c r="AE47" s="850">
        <v>4.8</v>
      </c>
      <c r="AF47" s="850">
        <v>4.9000000000000004</v>
      </c>
    </row>
    <row r="48" spans="1:32" s="57" customFormat="1">
      <c r="A48" s="134" t="s">
        <v>101</v>
      </c>
      <c r="B48" s="137" t="s">
        <v>38</v>
      </c>
      <c r="C48" s="228">
        <v>22</v>
      </c>
      <c r="D48" s="229">
        <v>21</v>
      </c>
      <c r="E48" s="229">
        <v>19</v>
      </c>
      <c r="F48" s="229">
        <v>19</v>
      </c>
      <c r="G48" s="229">
        <v>21.1</v>
      </c>
      <c r="H48" s="253">
        <v>22</v>
      </c>
      <c r="I48" s="254">
        <v>24</v>
      </c>
      <c r="J48" s="254">
        <v>25</v>
      </c>
      <c r="K48" s="255">
        <v>26</v>
      </c>
      <c r="L48" s="335">
        <v>25.8</v>
      </c>
      <c r="M48" s="335">
        <v>25.6</v>
      </c>
      <c r="N48" s="336">
        <v>26.7</v>
      </c>
      <c r="O48" s="254">
        <v>28.5</v>
      </c>
      <c r="P48" s="254">
        <v>29.1</v>
      </c>
      <c r="Q48" s="335">
        <v>28.7</v>
      </c>
      <c r="R48" s="337">
        <v>25.9</v>
      </c>
      <c r="S48" s="134" t="s">
        <v>102</v>
      </c>
      <c r="T48" s="138" t="s">
        <v>38</v>
      </c>
      <c r="U48" s="338">
        <v>25.9</v>
      </c>
      <c r="V48" s="255">
        <v>20.100000000000001</v>
      </c>
      <c r="W48" s="339">
        <v>14.1</v>
      </c>
      <c r="X48" s="339">
        <v>9.4</v>
      </c>
      <c r="Y48" s="339">
        <v>9.5</v>
      </c>
      <c r="Z48" s="340">
        <v>9.5</v>
      </c>
      <c r="AA48" s="340">
        <v>9.3000000000000007</v>
      </c>
      <c r="AB48" s="137">
        <v>9.3000000000000007</v>
      </c>
      <c r="AC48" s="137">
        <v>9.5</v>
      </c>
      <c r="AD48" s="137">
        <v>10.1</v>
      </c>
      <c r="AE48" s="850">
        <v>10.1</v>
      </c>
      <c r="AF48" s="850">
        <v>10.1</v>
      </c>
    </row>
    <row r="49" spans="1:32" s="100" customFormat="1" ht="12.75">
      <c r="A49" s="134"/>
      <c r="B49" s="137" t="s">
        <v>42</v>
      </c>
      <c r="C49" s="180"/>
      <c r="D49" s="181"/>
      <c r="E49" s="181"/>
      <c r="F49" s="181"/>
      <c r="G49" s="181"/>
      <c r="H49" s="181"/>
      <c r="I49" s="181"/>
      <c r="J49" s="181"/>
      <c r="K49" s="182"/>
      <c r="L49" s="183"/>
      <c r="M49" s="183"/>
      <c r="N49" s="184">
        <v>9.9</v>
      </c>
      <c r="O49" s="185">
        <v>12.1</v>
      </c>
      <c r="P49" s="185">
        <v>15.4</v>
      </c>
      <c r="Q49" s="183">
        <v>18.5</v>
      </c>
      <c r="R49" s="186">
        <v>16.8</v>
      </c>
      <c r="S49" s="134"/>
      <c r="T49" s="138" t="s">
        <v>42</v>
      </c>
      <c r="U49" s="187">
        <v>16.8</v>
      </c>
      <c r="V49" s="188">
        <v>14.8</v>
      </c>
      <c r="W49" s="189">
        <v>13.2</v>
      </c>
      <c r="X49" s="189">
        <v>11</v>
      </c>
      <c r="Y49" s="189">
        <v>10</v>
      </c>
      <c r="Z49" s="190">
        <v>10.6</v>
      </c>
      <c r="AA49" s="190">
        <v>10.4</v>
      </c>
      <c r="AB49" s="137">
        <v>10.3</v>
      </c>
      <c r="AC49" s="137">
        <v>10.8</v>
      </c>
      <c r="AD49" s="137">
        <v>11.1</v>
      </c>
      <c r="AE49" s="850">
        <v>12.2</v>
      </c>
      <c r="AF49" s="850">
        <v>14.3</v>
      </c>
    </row>
    <row r="50" spans="1:32" s="100" customFormat="1" ht="12.75">
      <c r="A50" s="134"/>
      <c r="B50" s="134" t="s">
        <v>43</v>
      </c>
      <c r="C50" s="180"/>
      <c r="D50" s="181"/>
      <c r="E50" s="181"/>
      <c r="F50" s="181"/>
      <c r="G50" s="181"/>
      <c r="H50" s="181"/>
      <c r="I50" s="181"/>
      <c r="J50" s="181"/>
      <c r="K50" s="182"/>
      <c r="L50" s="183"/>
      <c r="M50" s="183"/>
      <c r="N50" s="184"/>
      <c r="O50" s="185"/>
      <c r="P50" s="185"/>
      <c r="Q50" s="183">
        <v>11.6</v>
      </c>
      <c r="R50" s="186">
        <v>11.4</v>
      </c>
      <c r="S50" s="134"/>
      <c r="T50" s="146" t="s">
        <v>43</v>
      </c>
      <c r="U50" s="187">
        <v>11.4</v>
      </c>
      <c r="V50" s="188">
        <v>11.5</v>
      </c>
      <c r="W50" s="189">
        <v>10.9</v>
      </c>
      <c r="X50" s="189">
        <v>12.5</v>
      </c>
      <c r="Y50" s="189">
        <v>12.8</v>
      </c>
      <c r="Z50" s="190">
        <v>16.899999999999999</v>
      </c>
      <c r="AA50" s="190">
        <v>14.4</v>
      </c>
      <c r="AB50" s="137">
        <v>15.4</v>
      </c>
      <c r="AC50" s="137">
        <v>14.9</v>
      </c>
      <c r="AD50" s="137">
        <v>14.4</v>
      </c>
      <c r="AE50" s="850">
        <v>12.5</v>
      </c>
      <c r="AF50" s="850">
        <v>13</v>
      </c>
    </row>
    <row r="51" spans="1:32" s="57" customFormat="1" ht="12.75">
      <c r="A51" s="141"/>
      <c r="B51" s="141" t="s">
        <v>44</v>
      </c>
      <c r="C51" s="237" t="s">
        <v>66</v>
      </c>
      <c r="D51" s="238">
        <v>10.4</v>
      </c>
      <c r="E51" s="238">
        <v>12.6</v>
      </c>
      <c r="F51" s="238">
        <v>12.6</v>
      </c>
      <c r="G51" s="238">
        <v>13</v>
      </c>
      <c r="H51" s="341">
        <v>14.4</v>
      </c>
      <c r="I51" s="264">
        <v>16.600000000000001</v>
      </c>
      <c r="J51" s="264">
        <v>18.3</v>
      </c>
      <c r="K51" s="265">
        <v>20.7</v>
      </c>
      <c r="L51" s="342">
        <v>21.8</v>
      </c>
      <c r="M51" s="342">
        <v>23.4</v>
      </c>
      <c r="N51" s="343">
        <v>24.9</v>
      </c>
      <c r="O51" s="264">
        <v>25.7</v>
      </c>
      <c r="P51" s="264">
        <v>25.9</v>
      </c>
      <c r="Q51" s="342">
        <v>24.4</v>
      </c>
      <c r="R51" s="344">
        <v>23.6</v>
      </c>
      <c r="S51" s="141"/>
      <c r="T51" s="145" t="s">
        <v>44</v>
      </c>
      <c r="U51" s="345">
        <v>23.6</v>
      </c>
      <c r="V51" s="265">
        <v>19.600000000000001</v>
      </c>
      <c r="W51" s="346">
        <v>17.399999999999999</v>
      </c>
      <c r="X51" s="346">
        <v>18.100000000000001</v>
      </c>
      <c r="Y51" s="346">
        <v>16.399999999999999</v>
      </c>
      <c r="Z51" s="347">
        <v>15.7</v>
      </c>
      <c r="AA51" s="347">
        <v>15.7</v>
      </c>
      <c r="AB51" s="142">
        <v>13.5</v>
      </c>
      <c r="AC51" s="142">
        <v>13.3</v>
      </c>
      <c r="AD51" s="266" t="s">
        <v>424</v>
      </c>
      <c r="AE51" s="855" t="s">
        <v>424</v>
      </c>
      <c r="AF51" s="855" t="s">
        <v>70</v>
      </c>
    </row>
    <row r="52" spans="1:32" s="57" customFormat="1" ht="12.75">
      <c r="A52" s="134" t="s">
        <v>82</v>
      </c>
      <c r="B52" s="134" t="s">
        <v>36</v>
      </c>
      <c r="C52" s="215">
        <v>24.4</v>
      </c>
      <c r="D52" s="216">
        <v>29.3</v>
      </c>
      <c r="E52" s="217">
        <v>32.799999999999997</v>
      </c>
      <c r="F52" s="217">
        <v>39</v>
      </c>
      <c r="G52" s="217">
        <v>50.1</v>
      </c>
      <c r="H52" s="249">
        <v>46.1</v>
      </c>
      <c r="I52" s="250">
        <v>27.7</v>
      </c>
      <c r="J52" s="250">
        <v>37.700000000000003</v>
      </c>
      <c r="K52" s="251">
        <v>41.4</v>
      </c>
      <c r="L52" s="302">
        <v>40.6</v>
      </c>
      <c r="M52" s="302">
        <v>43.9</v>
      </c>
      <c r="N52" s="330">
        <v>42.8</v>
      </c>
      <c r="O52" s="250">
        <v>46.9</v>
      </c>
      <c r="P52" s="250">
        <v>41.7</v>
      </c>
      <c r="Q52" s="302">
        <v>39.1</v>
      </c>
      <c r="R52" s="331">
        <v>40.5</v>
      </c>
      <c r="S52" s="134" t="s">
        <v>82</v>
      </c>
      <c r="T52" s="144" t="s">
        <v>36</v>
      </c>
      <c r="U52" s="332">
        <v>36.729999999999997</v>
      </c>
      <c r="V52" s="251">
        <v>36.200000000000003</v>
      </c>
      <c r="W52" s="333">
        <v>36.1</v>
      </c>
      <c r="X52" s="333">
        <v>22.8</v>
      </c>
      <c r="Y52" s="333">
        <v>26.9</v>
      </c>
      <c r="Z52" s="334">
        <v>26.5</v>
      </c>
      <c r="AA52" s="334">
        <v>24.94</v>
      </c>
      <c r="AB52" s="227">
        <v>31.8</v>
      </c>
      <c r="AC52" s="227">
        <v>26.1</v>
      </c>
      <c r="AD52" s="227">
        <v>23.7</v>
      </c>
      <c r="AE52" s="850">
        <v>23</v>
      </c>
      <c r="AF52" s="850">
        <v>24.3</v>
      </c>
    </row>
    <row r="53" spans="1:32" s="57" customFormat="1" ht="12.75">
      <c r="A53" s="134" t="s">
        <v>83</v>
      </c>
      <c r="B53" s="137" t="s">
        <v>38</v>
      </c>
      <c r="C53" s="228" t="s">
        <v>66</v>
      </c>
      <c r="D53" s="229" t="s">
        <v>66</v>
      </c>
      <c r="E53" s="229" t="s">
        <v>66</v>
      </c>
      <c r="F53" s="229" t="s">
        <v>66</v>
      </c>
      <c r="G53" s="229">
        <v>26.9</v>
      </c>
      <c r="H53" s="253">
        <v>27.7</v>
      </c>
      <c r="I53" s="254">
        <v>28.7</v>
      </c>
      <c r="J53" s="254">
        <v>31.1</v>
      </c>
      <c r="K53" s="255">
        <v>31.6</v>
      </c>
      <c r="L53" s="335">
        <v>31.8</v>
      </c>
      <c r="M53" s="335">
        <v>31.8</v>
      </c>
      <c r="N53" s="336">
        <v>32.4</v>
      </c>
      <c r="O53" s="254">
        <v>33.9</v>
      </c>
      <c r="P53" s="254">
        <v>35.299999999999997</v>
      </c>
      <c r="Q53" s="335">
        <v>35.299999999999997</v>
      </c>
      <c r="R53" s="337">
        <v>34</v>
      </c>
      <c r="S53" s="134" t="s">
        <v>83</v>
      </c>
      <c r="T53" s="138" t="s">
        <v>38</v>
      </c>
      <c r="U53" s="338">
        <v>34</v>
      </c>
      <c r="V53" s="255">
        <v>29.6</v>
      </c>
      <c r="W53" s="339">
        <v>23.4</v>
      </c>
      <c r="X53" s="339">
        <v>15.2</v>
      </c>
      <c r="Y53" s="339">
        <v>16.5</v>
      </c>
      <c r="Z53" s="340">
        <v>14.6</v>
      </c>
      <c r="AA53" s="340">
        <v>14.1</v>
      </c>
      <c r="AB53" s="137">
        <v>14.1</v>
      </c>
      <c r="AC53" s="137">
        <v>14.3</v>
      </c>
      <c r="AD53" s="137">
        <v>14.8</v>
      </c>
      <c r="AE53" s="850">
        <v>15.3</v>
      </c>
      <c r="AF53" s="850">
        <v>14.9</v>
      </c>
    </row>
    <row r="54" spans="1:32" s="100" customFormat="1">
      <c r="A54" s="134" t="s">
        <v>103</v>
      </c>
      <c r="B54" s="137" t="s">
        <v>42</v>
      </c>
      <c r="C54" s="180"/>
      <c r="D54" s="181"/>
      <c r="E54" s="181"/>
      <c r="F54" s="181"/>
      <c r="G54" s="181"/>
      <c r="H54" s="181"/>
      <c r="I54" s="181"/>
      <c r="J54" s="181"/>
      <c r="K54" s="182"/>
      <c r="L54" s="183"/>
      <c r="M54" s="183"/>
      <c r="N54" s="184">
        <v>15.8</v>
      </c>
      <c r="O54" s="185">
        <v>17.399999999999999</v>
      </c>
      <c r="P54" s="185">
        <v>22.2</v>
      </c>
      <c r="Q54" s="183">
        <v>24.6</v>
      </c>
      <c r="R54" s="186">
        <v>22.8</v>
      </c>
      <c r="S54" s="134" t="s">
        <v>76</v>
      </c>
      <c r="T54" s="138" t="s">
        <v>42</v>
      </c>
      <c r="U54" s="338">
        <v>22.8</v>
      </c>
      <c r="V54" s="255">
        <v>21.6</v>
      </c>
      <c r="W54" s="189">
        <v>19.100000000000001</v>
      </c>
      <c r="X54" s="189">
        <v>16.7</v>
      </c>
      <c r="Y54" s="189">
        <v>16.100000000000001</v>
      </c>
      <c r="Z54" s="190">
        <v>16.2</v>
      </c>
      <c r="AA54" s="190">
        <v>15.9</v>
      </c>
      <c r="AB54" s="137">
        <v>15.8</v>
      </c>
      <c r="AC54" s="137">
        <v>15.6</v>
      </c>
      <c r="AD54" s="137">
        <v>15.8</v>
      </c>
      <c r="AE54" s="850">
        <v>16</v>
      </c>
      <c r="AF54" s="850">
        <v>18.399999999999999</v>
      </c>
    </row>
    <row r="55" spans="1:32" s="100" customFormat="1" ht="12.75">
      <c r="A55" s="134"/>
      <c r="B55" s="134" t="s">
        <v>43</v>
      </c>
      <c r="C55" s="180"/>
      <c r="D55" s="181"/>
      <c r="E55" s="181"/>
      <c r="F55" s="181"/>
      <c r="G55" s="181"/>
      <c r="H55" s="181"/>
      <c r="I55" s="181"/>
      <c r="J55" s="181"/>
      <c r="K55" s="182"/>
      <c r="L55" s="183"/>
      <c r="M55" s="183"/>
      <c r="N55" s="184"/>
      <c r="O55" s="185"/>
      <c r="P55" s="185"/>
      <c r="Q55" s="183">
        <v>24.2</v>
      </c>
      <c r="R55" s="186">
        <v>22.9</v>
      </c>
      <c r="S55" s="134"/>
      <c r="T55" s="144" t="s">
        <v>43</v>
      </c>
      <c r="U55" s="338">
        <v>22.9</v>
      </c>
      <c r="V55" s="255">
        <v>22.6</v>
      </c>
      <c r="W55" s="189">
        <v>22.2</v>
      </c>
      <c r="X55" s="189">
        <v>21.8</v>
      </c>
      <c r="Y55" s="189">
        <v>21.9</v>
      </c>
      <c r="Z55" s="190">
        <v>22</v>
      </c>
      <c r="AA55" s="190">
        <v>22</v>
      </c>
      <c r="AB55" s="137">
        <v>22.5</v>
      </c>
      <c r="AC55" s="137">
        <v>22.2</v>
      </c>
      <c r="AD55" s="137">
        <v>20</v>
      </c>
      <c r="AE55" s="850">
        <v>18.5</v>
      </c>
      <c r="AF55" s="850">
        <v>16.5</v>
      </c>
    </row>
    <row r="56" spans="1:32" s="57" customFormat="1" ht="12.75">
      <c r="A56" s="141"/>
      <c r="B56" s="141" t="s">
        <v>44</v>
      </c>
      <c r="C56" s="237">
        <v>21.5</v>
      </c>
      <c r="D56" s="238">
        <v>22.9</v>
      </c>
      <c r="E56" s="238">
        <v>24.4</v>
      </c>
      <c r="F56" s="238">
        <v>24.4</v>
      </c>
      <c r="G56" s="238">
        <v>24.7</v>
      </c>
      <c r="H56" s="341">
        <v>24.7</v>
      </c>
      <c r="I56" s="264">
        <v>24.8</v>
      </c>
      <c r="J56" s="264">
        <v>26.7</v>
      </c>
      <c r="K56" s="265">
        <v>26.8</v>
      </c>
      <c r="L56" s="342">
        <v>30.6</v>
      </c>
      <c r="M56" s="342">
        <v>31.3</v>
      </c>
      <c r="N56" s="343">
        <v>32</v>
      </c>
      <c r="O56" s="264">
        <v>33.5</v>
      </c>
      <c r="P56" s="264">
        <v>34.799999999999997</v>
      </c>
      <c r="Q56" s="342">
        <v>34.9</v>
      </c>
      <c r="R56" s="344">
        <v>33.799999999999997</v>
      </c>
      <c r="S56" s="141"/>
      <c r="T56" s="145" t="s">
        <v>44</v>
      </c>
      <c r="U56" s="345">
        <v>33.799999999999997</v>
      </c>
      <c r="V56" s="265">
        <v>31.7</v>
      </c>
      <c r="W56" s="346">
        <v>28.6</v>
      </c>
      <c r="X56" s="346">
        <v>27</v>
      </c>
      <c r="Y56" s="346">
        <v>26.3</v>
      </c>
      <c r="Z56" s="347">
        <v>25.6</v>
      </c>
      <c r="AA56" s="347">
        <v>24.2</v>
      </c>
      <c r="AB56" s="142">
        <v>21.7</v>
      </c>
      <c r="AC56" s="142">
        <v>21.8</v>
      </c>
      <c r="AD56" s="266" t="s">
        <v>424</v>
      </c>
      <c r="AE56" s="855" t="s">
        <v>424</v>
      </c>
      <c r="AF56" s="855" t="s">
        <v>70</v>
      </c>
    </row>
    <row r="57" spans="1:32" s="57" customFormat="1" ht="12.75">
      <c r="A57" s="134" t="s">
        <v>73</v>
      </c>
      <c r="B57" s="134" t="s">
        <v>36</v>
      </c>
      <c r="C57" s="215">
        <v>3720</v>
      </c>
      <c r="D57" s="216">
        <v>3730</v>
      </c>
      <c r="E57" s="217">
        <v>3270</v>
      </c>
      <c r="F57" s="217">
        <v>3030</v>
      </c>
      <c r="G57" s="217">
        <v>2470</v>
      </c>
      <c r="H57" s="217">
        <v>1360</v>
      </c>
      <c r="I57" s="216">
        <v>1250</v>
      </c>
      <c r="J57" s="216">
        <v>1630</v>
      </c>
      <c r="K57" s="218">
        <v>2403</v>
      </c>
      <c r="L57" s="281">
        <v>2403</v>
      </c>
      <c r="M57" s="281">
        <v>5294</v>
      </c>
      <c r="N57" s="282">
        <v>5822</v>
      </c>
      <c r="O57" s="216">
        <v>5885</v>
      </c>
      <c r="P57" s="216">
        <v>5659</v>
      </c>
      <c r="Q57" s="281">
        <v>5398</v>
      </c>
      <c r="R57" s="283">
        <v>5204</v>
      </c>
      <c r="S57" s="284"/>
      <c r="T57" s="230"/>
      <c r="U57" s="285">
        <v>5204</v>
      </c>
      <c r="V57" s="218">
        <v>5029</v>
      </c>
      <c r="W57" s="286">
        <v>5029</v>
      </c>
      <c r="X57" s="189" t="s">
        <v>68</v>
      </c>
      <c r="Y57" s="189" t="s">
        <v>68</v>
      </c>
      <c r="Z57" s="190" t="s">
        <v>68</v>
      </c>
      <c r="AA57" s="190" t="s">
        <v>68</v>
      </c>
      <c r="AB57" s="348"/>
      <c r="AC57" s="348"/>
      <c r="AD57" s="348"/>
      <c r="AE57" s="348"/>
      <c r="AF57" s="1251"/>
    </row>
    <row r="58" spans="1:32" s="57" customFormat="1" ht="12.75">
      <c r="A58" s="134" t="s">
        <v>84</v>
      </c>
      <c r="B58" s="137" t="s">
        <v>38</v>
      </c>
      <c r="C58" s="228" t="s">
        <v>66</v>
      </c>
      <c r="D58" s="229" t="s">
        <v>66</v>
      </c>
      <c r="E58" s="229" t="s">
        <v>66</v>
      </c>
      <c r="F58" s="229" t="s">
        <v>70</v>
      </c>
      <c r="G58" s="229" t="s">
        <v>70</v>
      </c>
      <c r="H58" s="229" t="s">
        <v>70</v>
      </c>
      <c r="I58" s="181" t="s">
        <v>70</v>
      </c>
      <c r="J58" s="181" t="s">
        <v>70</v>
      </c>
      <c r="K58" s="182" t="s">
        <v>70</v>
      </c>
      <c r="L58" s="267" t="s">
        <v>70</v>
      </c>
      <c r="M58" s="267" t="s">
        <v>70</v>
      </c>
      <c r="N58" s="184" t="s">
        <v>68</v>
      </c>
      <c r="O58" s="185" t="s">
        <v>68</v>
      </c>
      <c r="P58" s="185" t="s">
        <v>68</v>
      </c>
      <c r="Q58" s="183" t="s">
        <v>68</v>
      </c>
      <c r="R58" s="186" t="s">
        <v>68</v>
      </c>
      <c r="S58" s="296"/>
      <c r="T58" s="297"/>
      <c r="U58" s="187"/>
      <c r="V58" s="188" t="s">
        <v>68</v>
      </c>
      <c r="W58" s="189" t="s">
        <v>68</v>
      </c>
      <c r="X58" s="189" t="s">
        <v>68</v>
      </c>
      <c r="Y58" s="189" t="s">
        <v>68</v>
      </c>
      <c r="Z58" s="190" t="s">
        <v>68</v>
      </c>
      <c r="AA58" s="190" t="s">
        <v>68</v>
      </c>
      <c r="AB58" s="190"/>
      <c r="AC58" s="190"/>
      <c r="AD58" s="190"/>
      <c r="AE58" s="190"/>
      <c r="AF58" s="296"/>
    </row>
    <row r="59" spans="1:32" s="100" customFormat="1" ht="12.75">
      <c r="A59" s="134"/>
      <c r="B59" s="137" t="s">
        <v>42</v>
      </c>
      <c r="C59" s="180"/>
      <c r="D59" s="181"/>
      <c r="E59" s="181"/>
      <c r="F59" s="181"/>
      <c r="G59" s="181"/>
      <c r="H59" s="181"/>
      <c r="I59" s="181"/>
      <c r="J59" s="181"/>
      <c r="K59" s="182"/>
      <c r="L59" s="183"/>
      <c r="M59" s="183"/>
      <c r="N59" s="184" t="s">
        <v>68</v>
      </c>
      <c r="O59" s="185" t="s">
        <v>68</v>
      </c>
      <c r="P59" s="185" t="s">
        <v>68</v>
      </c>
      <c r="Q59" s="183" t="s">
        <v>68</v>
      </c>
      <c r="R59" s="186" t="s">
        <v>68</v>
      </c>
      <c r="S59" s="296"/>
      <c r="T59" s="297"/>
      <c r="U59" s="187"/>
      <c r="V59" s="188" t="s">
        <v>68</v>
      </c>
      <c r="W59" s="189" t="s">
        <v>68</v>
      </c>
      <c r="X59" s="189" t="s">
        <v>68</v>
      </c>
      <c r="Y59" s="189" t="s">
        <v>68</v>
      </c>
      <c r="Z59" s="190" t="s">
        <v>68</v>
      </c>
      <c r="AA59" s="190" t="s">
        <v>68</v>
      </c>
      <c r="AB59" s="190"/>
      <c r="AC59" s="190"/>
      <c r="AD59" s="190"/>
      <c r="AE59" s="190"/>
      <c r="AF59" s="296"/>
    </row>
    <row r="60" spans="1:32" s="100" customFormat="1" ht="12.75">
      <c r="A60" s="134"/>
      <c r="B60" s="134" t="s">
        <v>43</v>
      </c>
      <c r="C60" s="180"/>
      <c r="D60" s="181"/>
      <c r="E60" s="181"/>
      <c r="F60" s="181"/>
      <c r="G60" s="181"/>
      <c r="H60" s="181"/>
      <c r="I60" s="181"/>
      <c r="J60" s="181"/>
      <c r="K60" s="182"/>
      <c r="L60" s="183"/>
      <c r="M60" s="183"/>
      <c r="N60" s="184"/>
      <c r="O60" s="185"/>
      <c r="P60" s="185"/>
      <c r="Q60" s="183" t="s">
        <v>68</v>
      </c>
      <c r="R60" s="186" t="s">
        <v>68</v>
      </c>
      <c r="S60" s="296"/>
      <c r="T60" s="297"/>
      <c r="U60" s="187"/>
      <c r="V60" s="188" t="s">
        <v>68</v>
      </c>
      <c r="W60" s="189" t="s">
        <v>68</v>
      </c>
      <c r="X60" s="189" t="s">
        <v>68</v>
      </c>
      <c r="Y60" s="189" t="s">
        <v>68</v>
      </c>
      <c r="Z60" s="190" t="s">
        <v>68</v>
      </c>
      <c r="AA60" s="190" t="s">
        <v>68</v>
      </c>
      <c r="AB60" s="190"/>
      <c r="AC60" s="190"/>
      <c r="AD60" s="190"/>
      <c r="AE60" s="190"/>
      <c r="AF60" s="296"/>
    </row>
    <row r="61" spans="1:32" s="57" customFormat="1" ht="12.75">
      <c r="A61" s="141"/>
      <c r="B61" s="141" t="s">
        <v>44</v>
      </c>
      <c r="C61" s="237" t="s">
        <v>66</v>
      </c>
      <c r="D61" s="238" t="s">
        <v>66</v>
      </c>
      <c r="E61" s="238" t="s">
        <v>66</v>
      </c>
      <c r="F61" s="238" t="s">
        <v>69</v>
      </c>
      <c r="G61" s="238" t="s">
        <v>69</v>
      </c>
      <c r="H61" s="238" t="s">
        <v>69</v>
      </c>
      <c r="I61" s="239" t="s">
        <v>69</v>
      </c>
      <c r="J61" s="239" t="s">
        <v>69</v>
      </c>
      <c r="K61" s="240" t="s">
        <v>69</v>
      </c>
      <c r="L61" s="298" t="s">
        <v>69</v>
      </c>
      <c r="M61" s="298" t="s">
        <v>69</v>
      </c>
      <c r="N61" s="329" t="s">
        <v>69</v>
      </c>
      <c r="O61" s="239" t="s">
        <v>68</v>
      </c>
      <c r="P61" s="239" t="s">
        <v>68</v>
      </c>
      <c r="Q61" s="298" t="s">
        <v>68</v>
      </c>
      <c r="R61" s="325" t="s">
        <v>68</v>
      </c>
      <c r="S61" s="349"/>
      <c r="T61" s="350"/>
      <c r="U61" s="326"/>
      <c r="V61" s="240" t="s">
        <v>68</v>
      </c>
      <c r="W61" s="327" t="s">
        <v>68</v>
      </c>
      <c r="X61" s="327" t="s">
        <v>68</v>
      </c>
      <c r="Y61" s="327" t="s">
        <v>68</v>
      </c>
      <c r="Z61" s="328" t="s">
        <v>68</v>
      </c>
      <c r="AA61" s="328" t="s">
        <v>68</v>
      </c>
      <c r="AB61" s="328"/>
      <c r="AC61" s="328"/>
      <c r="AD61" s="328"/>
      <c r="AE61" s="328"/>
      <c r="AF61" s="349"/>
    </row>
    <row r="62" spans="1:32" s="57" customFormat="1" ht="12.75">
      <c r="A62" s="134" t="s">
        <v>85</v>
      </c>
      <c r="B62" s="134" t="s">
        <v>36</v>
      </c>
      <c r="C62" s="215">
        <v>16.899999999999999</v>
      </c>
      <c r="D62" s="217">
        <v>17.899999999999999</v>
      </c>
      <c r="E62" s="217">
        <v>14.2</v>
      </c>
      <c r="F62" s="217">
        <v>14.1</v>
      </c>
      <c r="G62" s="217">
        <v>11.6</v>
      </c>
      <c r="H62" s="249">
        <v>6.6</v>
      </c>
      <c r="I62" s="250">
        <v>6.6</v>
      </c>
      <c r="J62" s="250">
        <v>8.8000000000000007</v>
      </c>
      <c r="K62" s="251">
        <v>11.8</v>
      </c>
      <c r="L62" s="302">
        <v>4.8</v>
      </c>
      <c r="M62" s="302">
        <v>16.659574468085101</v>
      </c>
      <c r="N62" s="330">
        <v>26.4</v>
      </c>
      <c r="O62" s="250">
        <v>23.9</v>
      </c>
      <c r="P62" s="250">
        <v>22.6</v>
      </c>
      <c r="Q62" s="302">
        <v>21.4</v>
      </c>
      <c r="R62" s="331">
        <v>20.399999999999999</v>
      </c>
      <c r="S62" s="351"/>
      <c r="T62" s="352"/>
      <c r="U62" s="332" t="s">
        <v>86</v>
      </c>
      <c r="V62" s="251">
        <v>19.399999999999999</v>
      </c>
      <c r="W62" s="333" t="s">
        <v>68</v>
      </c>
      <c r="X62" s="189" t="s">
        <v>68</v>
      </c>
      <c r="Y62" s="189" t="s">
        <v>68</v>
      </c>
      <c r="Z62" s="190" t="s">
        <v>68</v>
      </c>
      <c r="AA62" s="190" t="s">
        <v>68</v>
      </c>
      <c r="AB62" s="190"/>
      <c r="AC62" s="190"/>
      <c r="AD62" s="190"/>
      <c r="AE62" s="190"/>
      <c r="AF62" s="296"/>
    </row>
    <row r="63" spans="1:32" s="57" customFormat="1" ht="12.75">
      <c r="A63" s="134" t="s">
        <v>87</v>
      </c>
      <c r="B63" s="137" t="s">
        <v>38</v>
      </c>
      <c r="C63" s="228" t="s">
        <v>66</v>
      </c>
      <c r="D63" s="229" t="s">
        <v>66</v>
      </c>
      <c r="E63" s="229" t="s">
        <v>66</v>
      </c>
      <c r="F63" s="229" t="s">
        <v>70</v>
      </c>
      <c r="G63" s="229" t="s">
        <v>70</v>
      </c>
      <c r="H63" s="229" t="s">
        <v>70</v>
      </c>
      <c r="I63" s="181" t="s">
        <v>70</v>
      </c>
      <c r="J63" s="181" t="s">
        <v>70</v>
      </c>
      <c r="K63" s="182" t="s">
        <v>70</v>
      </c>
      <c r="L63" s="267" t="s">
        <v>70</v>
      </c>
      <c r="M63" s="267" t="s">
        <v>70</v>
      </c>
      <c r="N63" s="184" t="s">
        <v>68</v>
      </c>
      <c r="O63" s="185" t="s">
        <v>68</v>
      </c>
      <c r="P63" s="185" t="s">
        <v>68</v>
      </c>
      <c r="Q63" s="183" t="s">
        <v>68</v>
      </c>
      <c r="R63" s="186" t="s">
        <v>68</v>
      </c>
      <c r="S63" s="296"/>
      <c r="T63" s="297"/>
      <c r="U63" s="187"/>
      <c r="V63" s="188" t="s">
        <v>68</v>
      </c>
      <c r="W63" s="189" t="s">
        <v>68</v>
      </c>
      <c r="X63" s="189" t="s">
        <v>68</v>
      </c>
      <c r="Y63" s="189" t="s">
        <v>68</v>
      </c>
      <c r="Z63" s="190" t="s">
        <v>68</v>
      </c>
      <c r="AA63" s="190" t="s">
        <v>68</v>
      </c>
      <c r="AB63" s="190"/>
      <c r="AC63" s="190"/>
      <c r="AD63" s="190"/>
      <c r="AE63" s="190"/>
      <c r="AF63" s="296"/>
    </row>
    <row r="64" spans="1:32" s="100" customFormat="1" ht="12.75">
      <c r="A64" s="134"/>
      <c r="B64" s="137" t="s">
        <v>42</v>
      </c>
      <c r="C64" s="180"/>
      <c r="D64" s="181"/>
      <c r="E64" s="181"/>
      <c r="F64" s="181"/>
      <c r="G64" s="181"/>
      <c r="H64" s="181"/>
      <c r="I64" s="181"/>
      <c r="J64" s="181"/>
      <c r="K64" s="182"/>
      <c r="L64" s="183"/>
      <c r="M64" s="183"/>
      <c r="N64" s="184" t="s">
        <v>68</v>
      </c>
      <c r="O64" s="185" t="s">
        <v>68</v>
      </c>
      <c r="P64" s="185" t="s">
        <v>68</v>
      </c>
      <c r="Q64" s="183" t="s">
        <v>68</v>
      </c>
      <c r="R64" s="186" t="s">
        <v>68</v>
      </c>
      <c r="S64" s="296"/>
      <c r="T64" s="297"/>
      <c r="U64" s="187"/>
      <c r="V64" s="188" t="s">
        <v>68</v>
      </c>
      <c r="W64" s="189" t="s">
        <v>68</v>
      </c>
      <c r="X64" s="189" t="s">
        <v>68</v>
      </c>
      <c r="Y64" s="189" t="s">
        <v>68</v>
      </c>
      <c r="Z64" s="190" t="s">
        <v>68</v>
      </c>
      <c r="AA64" s="190" t="s">
        <v>68</v>
      </c>
      <c r="AB64" s="190"/>
      <c r="AC64" s="190"/>
      <c r="AD64" s="190"/>
      <c r="AE64" s="190"/>
      <c r="AF64" s="296"/>
    </row>
    <row r="65" spans="1:32" s="100" customFormat="1" ht="12.75">
      <c r="A65" s="134"/>
      <c r="B65" s="134" t="s">
        <v>43</v>
      </c>
      <c r="C65" s="180"/>
      <c r="D65" s="181"/>
      <c r="E65" s="181"/>
      <c r="F65" s="181"/>
      <c r="G65" s="181"/>
      <c r="H65" s="181"/>
      <c r="I65" s="181"/>
      <c r="J65" s="181"/>
      <c r="K65" s="182"/>
      <c r="L65" s="183"/>
      <c r="M65" s="183"/>
      <c r="N65" s="184"/>
      <c r="O65" s="185"/>
      <c r="P65" s="185"/>
      <c r="Q65" s="183" t="s">
        <v>68</v>
      </c>
      <c r="R65" s="186" t="s">
        <v>68</v>
      </c>
      <c r="S65" s="296"/>
      <c r="T65" s="297"/>
      <c r="U65" s="187"/>
      <c r="V65" s="188" t="s">
        <v>68</v>
      </c>
      <c r="W65" s="189" t="s">
        <v>68</v>
      </c>
      <c r="X65" s="189" t="s">
        <v>68</v>
      </c>
      <c r="Y65" s="189" t="s">
        <v>68</v>
      </c>
      <c r="Z65" s="190" t="s">
        <v>68</v>
      </c>
      <c r="AA65" s="190" t="s">
        <v>68</v>
      </c>
      <c r="AB65" s="190"/>
      <c r="AC65" s="190"/>
      <c r="AD65" s="190"/>
      <c r="AE65" s="190"/>
      <c r="AF65" s="296"/>
    </row>
    <row r="66" spans="1:32" s="57" customFormat="1" ht="12.75">
      <c r="A66" s="141"/>
      <c r="B66" s="141" t="s">
        <v>44</v>
      </c>
      <c r="C66" s="237" t="s">
        <v>66</v>
      </c>
      <c r="D66" s="238" t="s">
        <v>69</v>
      </c>
      <c r="E66" s="238" t="s">
        <v>69</v>
      </c>
      <c r="F66" s="238" t="s">
        <v>69</v>
      </c>
      <c r="G66" s="238" t="s">
        <v>69</v>
      </c>
      <c r="H66" s="238" t="s">
        <v>69</v>
      </c>
      <c r="I66" s="238" t="s">
        <v>69</v>
      </c>
      <c r="J66" s="238" t="s">
        <v>69</v>
      </c>
      <c r="K66" s="238" t="s">
        <v>69</v>
      </c>
      <c r="L66" s="238" t="s">
        <v>69</v>
      </c>
      <c r="M66" s="353" t="s">
        <v>69</v>
      </c>
      <c r="N66" s="354" t="s">
        <v>69</v>
      </c>
      <c r="O66" s="239" t="s">
        <v>68</v>
      </c>
      <c r="P66" s="239" t="s">
        <v>68</v>
      </c>
      <c r="Q66" s="298" t="s">
        <v>68</v>
      </c>
      <c r="R66" s="325" t="s">
        <v>68</v>
      </c>
      <c r="S66" s="349"/>
      <c r="T66" s="350"/>
      <c r="U66" s="326"/>
      <c r="V66" s="240" t="s">
        <v>68</v>
      </c>
      <c r="W66" s="327" t="s">
        <v>68</v>
      </c>
      <c r="X66" s="327" t="s">
        <v>68</v>
      </c>
      <c r="Y66" s="327" t="s">
        <v>68</v>
      </c>
      <c r="Z66" s="328" t="s">
        <v>68</v>
      </c>
      <c r="AA66" s="328" t="s">
        <v>68</v>
      </c>
      <c r="AB66" s="328"/>
      <c r="AC66" s="328"/>
      <c r="AD66" s="328"/>
      <c r="AE66" s="328"/>
      <c r="AF66" s="349"/>
    </row>
    <row r="67" spans="1:32" s="57" customFormat="1" ht="12.75">
      <c r="A67" s="134" t="s">
        <v>88</v>
      </c>
      <c r="B67" s="134" t="s">
        <v>36</v>
      </c>
      <c r="C67" s="355"/>
      <c r="D67" s="356"/>
      <c r="E67" s="356"/>
      <c r="F67" s="356"/>
      <c r="G67" s="356"/>
      <c r="H67" s="356"/>
      <c r="I67" s="356"/>
      <c r="J67" s="356"/>
      <c r="K67" s="356"/>
      <c r="L67" s="356"/>
      <c r="M67" s="357"/>
      <c r="N67" s="358"/>
      <c r="O67" s="356"/>
      <c r="P67" s="356"/>
      <c r="Q67" s="229" t="s">
        <v>66</v>
      </c>
      <c r="R67" s="331" t="s">
        <v>68</v>
      </c>
      <c r="S67" s="134" t="s">
        <v>88</v>
      </c>
      <c r="T67" s="144" t="s">
        <v>36</v>
      </c>
      <c r="U67" s="359"/>
      <c r="V67" s="360" t="s">
        <v>68</v>
      </c>
      <c r="W67" s="333" t="s">
        <v>68</v>
      </c>
      <c r="X67" s="333" t="s">
        <v>68</v>
      </c>
      <c r="Y67" s="333" t="s">
        <v>68</v>
      </c>
      <c r="Z67" s="334" t="s">
        <v>68</v>
      </c>
      <c r="AA67" s="334" t="s">
        <v>68</v>
      </c>
      <c r="AB67" s="361" t="s">
        <v>66</v>
      </c>
      <c r="AC67" s="361" t="s">
        <v>66</v>
      </c>
      <c r="AD67" s="361" t="s">
        <v>66</v>
      </c>
      <c r="AE67" s="361" t="s">
        <v>66</v>
      </c>
      <c r="AF67" s="361" t="s">
        <v>68</v>
      </c>
    </row>
    <row r="68" spans="1:32" s="57" customFormat="1" ht="12.75">
      <c r="A68" s="134" t="s">
        <v>89</v>
      </c>
      <c r="B68" s="137" t="s">
        <v>38</v>
      </c>
      <c r="C68" s="362"/>
      <c r="D68" s="356"/>
      <c r="E68" s="356"/>
      <c r="F68" s="356"/>
      <c r="G68" s="356"/>
      <c r="H68" s="356"/>
      <c r="I68" s="356"/>
      <c r="J68" s="356"/>
      <c r="K68" s="356"/>
      <c r="L68" s="356"/>
      <c r="M68" s="357"/>
      <c r="N68" s="363"/>
      <c r="O68" s="364"/>
      <c r="P68" s="364"/>
      <c r="Q68" s="183" t="s">
        <v>68</v>
      </c>
      <c r="R68" s="186" t="s">
        <v>68</v>
      </c>
      <c r="S68" s="134" t="s">
        <v>89</v>
      </c>
      <c r="T68" s="138" t="s">
        <v>38</v>
      </c>
      <c r="U68" s="187"/>
      <c r="V68" s="188" t="s">
        <v>68</v>
      </c>
      <c r="W68" s="189" t="s">
        <v>68</v>
      </c>
      <c r="X68" s="189" t="s">
        <v>68</v>
      </c>
      <c r="Y68" s="189" t="s">
        <v>68</v>
      </c>
      <c r="Z68" s="190">
        <v>10.5</v>
      </c>
      <c r="AA68" s="190">
        <v>10.6</v>
      </c>
      <c r="AB68" s="256">
        <v>11.1</v>
      </c>
      <c r="AC68" s="256">
        <v>12.2</v>
      </c>
      <c r="AD68" s="256">
        <v>12.5</v>
      </c>
      <c r="AE68" s="256">
        <v>14.1</v>
      </c>
      <c r="AF68" s="256">
        <v>13.4</v>
      </c>
    </row>
    <row r="69" spans="1:32" s="100" customFormat="1" ht="12.75">
      <c r="A69" s="134"/>
      <c r="B69" s="137" t="s">
        <v>42</v>
      </c>
      <c r="C69" s="362"/>
      <c r="D69" s="356"/>
      <c r="E69" s="356"/>
      <c r="F69" s="356"/>
      <c r="G69" s="356"/>
      <c r="H69" s="356"/>
      <c r="I69" s="356"/>
      <c r="J69" s="356"/>
      <c r="K69" s="356"/>
      <c r="L69" s="356"/>
      <c r="M69" s="357"/>
      <c r="N69" s="363"/>
      <c r="O69" s="364"/>
      <c r="P69" s="364"/>
      <c r="Q69" s="183" t="s">
        <v>68</v>
      </c>
      <c r="R69" s="186" t="s">
        <v>68</v>
      </c>
      <c r="S69" s="134"/>
      <c r="T69" s="138" t="s">
        <v>42</v>
      </c>
      <c r="U69" s="187"/>
      <c r="V69" s="188" t="s">
        <v>68</v>
      </c>
      <c r="W69" s="189" t="s">
        <v>68</v>
      </c>
      <c r="X69" s="189" t="s">
        <v>68</v>
      </c>
      <c r="Y69" s="189" t="s">
        <v>68</v>
      </c>
      <c r="Z69" s="190" t="s">
        <v>68</v>
      </c>
      <c r="AA69" s="190" t="s">
        <v>68</v>
      </c>
      <c r="AB69" s="256" t="s">
        <v>66</v>
      </c>
      <c r="AC69" s="256" t="s">
        <v>66</v>
      </c>
      <c r="AD69" s="256" t="s">
        <v>66</v>
      </c>
      <c r="AE69" s="256" t="s">
        <v>66</v>
      </c>
      <c r="AF69" s="256" t="s">
        <v>68</v>
      </c>
    </row>
    <row r="70" spans="1:32" s="100" customFormat="1" ht="12.75">
      <c r="A70" s="134"/>
      <c r="B70" s="134" t="s">
        <v>43</v>
      </c>
      <c r="C70" s="362"/>
      <c r="D70" s="356"/>
      <c r="E70" s="356"/>
      <c r="F70" s="356"/>
      <c r="G70" s="356"/>
      <c r="H70" s="356"/>
      <c r="I70" s="356"/>
      <c r="J70" s="356"/>
      <c r="K70" s="356"/>
      <c r="L70" s="356"/>
      <c r="M70" s="357"/>
      <c r="N70" s="363"/>
      <c r="O70" s="364"/>
      <c r="P70" s="364"/>
      <c r="Q70" s="183">
        <v>7.6</v>
      </c>
      <c r="R70" s="186">
        <v>7.5</v>
      </c>
      <c r="S70" s="134"/>
      <c r="T70" s="144" t="s">
        <v>43</v>
      </c>
      <c r="U70" s="187">
        <v>7.5</v>
      </c>
      <c r="V70" s="188">
        <v>6.6</v>
      </c>
      <c r="W70" s="189">
        <v>7</v>
      </c>
      <c r="X70" s="189">
        <v>6.4</v>
      </c>
      <c r="Y70" s="189">
        <v>5.4</v>
      </c>
      <c r="Z70" s="190">
        <v>5.0999999999999996</v>
      </c>
      <c r="AA70" s="190">
        <v>5.2</v>
      </c>
      <c r="AB70" s="252">
        <v>5.0999999999999996</v>
      </c>
      <c r="AC70" s="252">
        <v>5</v>
      </c>
      <c r="AD70" s="252">
        <v>5.9</v>
      </c>
      <c r="AE70" s="252">
        <v>5.8</v>
      </c>
      <c r="AF70" s="252">
        <v>5.7</v>
      </c>
    </row>
    <row r="71" spans="1:32" s="57" customFormat="1" ht="13.5" thickBot="1">
      <c r="A71" s="147"/>
      <c r="B71" s="147" t="s">
        <v>44</v>
      </c>
      <c r="C71" s="365"/>
      <c r="D71" s="366"/>
      <c r="E71" s="366"/>
      <c r="F71" s="366"/>
      <c r="G71" s="366"/>
      <c r="H71" s="366"/>
      <c r="I71" s="367"/>
      <c r="J71" s="367"/>
      <c r="K71" s="368"/>
      <c r="L71" s="369"/>
      <c r="M71" s="369"/>
      <c r="N71" s="370"/>
      <c r="O71" s="367"/>
      <c r="P71" s="367"/>
      <c r="Q71" s="371" t="s">
        <v>68</v>
      </c>
      <c r="R71" s="372" t="s">
        <v>68</v>
      </c>
      <c r="S71" s="147"/>
      <c r="T71" s="148" t="s">
        <v>44</v>
      </c>
      <c r="U71" s="373"/>
      <c r="V71" s="374" t="s">
        <v>68</v>
      </c>
      <c r="W71" s="375" t="s">
        <v>68</v>
      </c>
      <c r="X71" s="375" t="s">
        <v>68</v>
      </c>
      <c r="Y71" s="375" t="s">
        <v>68</v>
      </c>
      <c r="Z71" s="376" t="s">
        <v>68</v>
      </c>
      <c r="AA71" s="376" t="s">
        <v>68</v>
      </c>
      <c r="AB71" s="377" t="s">
        <v>66</v>
      </c>
      <c r="AC71" s="377" t="s">
        <v>66</v>
      </c>
      <c r="AD71" s="377" t="s">
        <v>66</v>
      </c>
      <c r="AE71" s="377" t="s">
        <v>66</v>
      </c>
      <c r="AF71" s="1252" t="s">
        <v>68</v>
      </c>
    </row>
    <row r="72" spans="1:32">
      <c r="A72" s="57"/>
      <c r="B72" s="57"/>
      <c r="C72" s="149"/>
      <c r="D72" s="149"/>
      <c r="E72" s="149"/>
      <c r="F72" s="149"/>
      <c r="G72" s="149"/>
      <c r="H72" s="149"/>
    </row>
    <row r="73" spans="1:32" s="151" customFormat="1">
      <c r="A73" s="150" t="s">
        <v>498</v>
      </c>
      <c r="C73" s="152"/>
      <c r="D73" s="152"/>
      <c r="E73" s="152"/>
      <c r="F73" s="152"/>
      <c r="G73" s="152"/>
      <c r="H73" s="152"/>
      <c r="Q73" s="153"/>
      <c r="R73" s="153"/>
      <c r="S73" s="153"/>
      <c r="T73" s="153"/>
      <c r="U73" s="153"/>
    </row>
    <row r="74" spans="1:32" s="151" customFormat="1">
      <c r="A74" s="154" t="s">
        <v>499</v>
      </c>
      <c r="C74" s="152"/>
      <c r="D74" s="152"/>
      <c r="E74" s="152"/>
      <c r="F74" s="152"/>
      <c r="G74" s="152"/>
      <c r="H74" s="152"/>
      <c r="Q74" s="153"/>
      <c r="R74" s="153"/>
      <c r="S74" s="153"/>
      <c r="T74" s="153"/>
      <c r="U74" s="153"/>
    </row>
    <row r="75" spans="1:32" s="151" customFormat="1" ht="13.9" customHeight="1">
      <c r="A75" s="154" t="s">
        <v>90</v>
      </c>
      <c r="C75" s="152"/>
      <c r="D75" s="152"/>
      <c r="E75" s="152"/>
      <c r="F75" s="152"/>
      <c r="G75" s="152"/>
      <c r="H75" s="152"/>
      <c r="Q75" s="153"/>
      <c r="R75" s="153"/>
      <c r="S75" s="153"/>
      <c r="T75" s="153"/>
      <c r="U75" s="153"/>
    </row>
    <row r="76" spans="1:32" s="151" customFormat="1" ht="13.9" customHeight="1">
      <c r="A76" s="155" t="s">
        <v>91</v>
      </c>
      <c r="C76" s="152"/>
      <c r="D76" s="152"/>
      <c r="E76" s="152"/>
      <c r="F76" s="152"/>
      <c r="G76" s="152"/>
      <c r="H76" s="152"/>
      <c r="Q76" s="153"/>
      <c r="R76" s="153"/>
      <c r="S76" s="153"/>
      <c r="T76" s="153"/>
      <c r="U76" s="153"/>
    </row>
    <row r="77" spans="1:32" s="151" customFormat="1">
      <c r="A77" s="151" t="s">
        <v>92</v>
      </c>
      <c r="C77" s="156"/>
      <c r="D77" s="156"/>
      <c r="E77" s="156"/>
      <c r="F77" s="156"/>
      <c r="G77" s="156"/>
      <c r="H77" s="156"/>
      <c r="Q77" s="153"/>
      <c r="R77" s="153"/>
      <c r="S77" s="153"/>
      <c r="T77" s="153"/>
      <c r="U77" s="153"/>
    </row>
    <row r="78" spans="1:32" s="151" customFormat="1">
      <c r="A78" s="151" t="s">
        <v>93</v>
      </c>
      <c r="C78" s="156"/>
      <c r="D78" s="156"/>
      <c r="E78" s="156"/>
      <c r="F78" s="156"/>
      <c r="G78" s="156"/>
      <c r="H78" s="156"/>
      <c r="Q78" s="153"/>
      <c r="R78" s="153"/>
      <c r="S78" s="153"/>
      <c r="T78" s="153"/>
      <c r="U78" s="153"/>
    </row>
    <row r="79" spans="1:32" s="151" customFormat="1" ht="12.75">
      <c r="A79" s="151" t="s">
        <v>94</v>
      </c>
      <c r="C79" s="152"/>
      <c r="D79" s="152"/>
      <c r="E79" s="152"/>
      <c r="F79" s="152"/>
      <c r="G79" s="152"/>
      <c r="H79" s="152"/>
      <c r="Q79" s="153"/>
      <c r="R79" s="153"/>
      <c r="S79" s="153"/>
      <c r="T79" s="153"/>
      <c r="U79" s="153"/>
    </row>
    <row r="80" spans="1:32" s="151" customFormat="1" ht="12.75">
      <c r="A80" s="151" t="s">
        <v>95</v>
      </c>
      <c r="C80" s="152"/>
      <c r="D80" s="152"/>
      <c r="E80" s="152"/>
      <c r="F80" s="152"/>
      <c r="G80" s="152"/>
      <c r="H80" s="152"/>
      <c r="Q80" s="153"/>
      <c r="R80" s="153"/>
      <c r="S80" s="153"/>
      <c r="T80" s="153"/>
      <c r="U80" s="153"/>
    </row>
    <row r="81" spans="1:10" s="57" customFormat="1" ht="12.75">
      <c r="A81" s="57" t="s">
        <v>96</v>
      </c>
      <c r="F81" s="100"/>
      <c r="G81" s="100"/>
      <c r="H81" s="100"/>
      <c r="I81" s="100"/>
      <c r="J81" s="100"/>
    </row>
    <row r="82" spans="1:10">
      <c r="C82" s="149"/>
      <c r="D82" s="149"/>
      <c r="E82" s="149"/>
      <c r="F82" s="149"/>
      <c r="G82" s="149"/>
      <c r="H82" s="149"/>
    </row>
    <row r="83" spans="1:10">
      <c r="A83" s="157"/>
      <c r="C83" s="149"/>
      <c r="D83" s="149"/>
      <c r="E83" s="149"/>
      <c r="F83" s="149"/>
      <c r="G83" s="149"/>
      <c r="H83" s="149"/>
    </row>
    <row r="84" spans="1:10">
      <c r="A84" s="157"/>
      <c r="C84" s="149"/>
      <c r="D84" s="149"/>
      <c r="E84" s="149"/>
      <c r="F84" s="149"/>
      <c r="G84" s="149"/>
      <c r="H84" s="149"/>
    </row>
    <row r="85" spans="1:10">
      <c r="A85" s="157"/>
      <c r="C85" s="149"/>
      <c r="D85" s="149"/>
      <c r="E85" s="149"/>
      <c r="F85" s="149"/>
      <c r="G85" s="149"/>
      <c r="H85" s="149"/>
    </row>
    <row r="86" spans="1:10">
      <c r="A86" s="157"/>
      <c r="C86" s="149"/>
      <c r="D86" s="149"/>
      <c r="E86" s="149"/>
      <c r="F86" s="149"/>
      <c r="G86" s="149"/>
      <c r="H86" s="149"/>
    </row>
    <row r="87" spans="1:10">
      <c r="C87" s="149"/>
      <c r="D87" s="149"/>
      <c r="E87" s="149"/>
      <c r="F87" s="149"/>
      <c r="G87" s="149"/>
      <c r="H87" s="149"/>
    </row>
    <row r="88" spans="1:10">
      <c r="C88" s="149"/>
      <c r="D88" s="149"/>
      <c r="E88" s="149"/>
      <c r="F88" s="149"/>
      <c r="G88" s="149"/>
      <c r="H88" s="149"/>
    </row>
    <row r="89" spans="1:10">
      <c r="C89" s="149"/>
      <c r="D89" s="149"/>
      <c r="E89" s="149"/>
      <c r="F89" s="149"/>
      <c r="G89" s="149"/>
      <c r="H89" s="149"/>
    </row>
    <row r="90" spans="1:10">
      <c r="C90" s="149"/>
      <c r="D90" s="149"/>
      <c r="E90" s="149"/>
      <c r="F90" s="149"/>
      <c r="G90" s="149"/>
      <c r="H90" s="149"/>
    </row>
    <row r="91" spans="1:10">
      <c r="C91" s="149"/>
      <c r="D91" s="149"/>
      <c r="E91" s="149"/>
      <c r="F91" s="149"/>
      <c r="G91" s="149"/>
      <c r="H91" s="149"/>
    </row>
    <row r="92" spans="1:10">
      <c r="C92" s="149"/>
      <c r="D92" s="149"/>
      <c r="E92" s="149"/>
      <c r="F92" s="149"/>
      <c r="G92" s="149"/>
      <c r="H92" s="149"/>
    </row>
    <row r="93" spans="1:10">
      <c r="C93" s="149"/>
      <c r="D93" s="149"/>
      <c r="E93" s="149"/>
      <c r="F93" s="149"/>
      <c r="G93" s="149"/>
      <c r="H93" s="149"/>
    </row>
    <row r="94" spans="1:10">
      <c r="C94" s="149"/>
      <c r="D94" s="149"/>
      <c r="E94" s="149"/>
      <c r="F94" s="149"/>
      <c r="G94" s="149"/>
      <c r="H94" s="149"/>
    </row>
    <row r="95" spans="1:10">
      <c r="C95" s="149"/>
      <c r="D95" s="149"/>
      <c r="E95" s="149"/>
      <c r="F95" s="149"/>
      <c r="G95" s="149"/>
      <c r="H95" s="149"/>
    </row>
    <row r="96" spans="1:10">
      <c r="C96" s="149"/>
      <c r="D96" s="149"/>
      <c r="E96" s="149"/>
      <c r="F96" s="149"/>
      <c r="G96" s="149"/>
      <c r="H96" s="149"/>
    </row>
  </sheetData>
  <hyperlinks>
    <hyperlink ref="AG1" location="Content!A1" display="ToC" xr:uid="{99F3FB91-E68E-4273-9813-CA6AACD69D8D}"/>
  </hyperlinks>
  <pageMargins left="0.5" right="0.53958333333333297" top="0.5" bottom="0.5" header="0" footer="0"/>
  <pageSetup paperSize="8" scale="6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C76DF-4AAA-47FE-9984-10305EB6B3AD}">
  <dimension ref="A1:S212"/>
  <sheetViews>
    <sheetView zoomScale="80" zoomScaleNormal="80" workbookViewId="0"/>
  </sheetViews>
  <sheetFormatPr defaultColWidth="9" defaultRowHeight="15"/>
  <cols>
    <col min="1" max="1" width="14.7109375" style="116" customWidth="1"/>
    <col min="2" max="3" width="9" style="116" customWidth="1"/>
    <col min="4" max="16384" width="9" style="116"/>
  </cols>
  <sheetData>
    <row r="1" spans="1:17" ht="18.75">
      <c r="A1" s="856" t="s">
        <v>32</v>
      </c>
      <c r="B1" s="856"/>
      <c r="C1" s="856"/>
      <c r="Q1" s="888" t="s">
        <v>458</v>
      </c>
    </row>
    <row r="2" spans="1:17">
      <c r="A2" s="117" t="s">
        <v>48</v>
      </c>
      <c r="B2" s="117"/>
      <c r="C2" s="117"/>
    </row>
    <row r="3" spans="1:17">
      <c r="A3" s="115" t="s">
        <v>451</v>
      </c>
      <c r="B3" s="115"/>
      <c r="C3" s="115"/>
    </row>
    <row r="4" spans="1:17">
      <c r="A4" s="115" t="s">
        <v>428</v>
      </c>
      <c r="B4" s="115"/>
      <c r="C4" s="115"/>
      <c r="Q4" s="1255"/>
    </row>
    <row r="5" spans="1:17">
      <c r="A5" s="115"/>
      <c r="B5" s="115"/>
      <c r="C5" s="115"/>
      <c r="Q5" s="1255"/>
    </row>
    <row r="6" spans="1:17">
      <c r="A6" s="118" t="s">
        <v>425</v>
      </c>
      <c r="B6" s="118">
        <v>2006</v>
      </c>
      <c r="C6" s="118">
        <v>2007</v>
      </c>
      <c r="D6" s="118">
        <v>2008</v>
      </c>
      <c r="E6" s="118">
        <v>2009</v>
      </c>
      <c r="F6" s="118">
        <v>2010</v>
      </c>
      <c r="G6" s="118">
        <v>2011</v>
      </c>
      <c r="H6" s="118">
        <v>2012</v>
      </c>
      <c r="I6" s="118">
        <v>2013</v>
      </c>
      <c r="J6" s="118">
        <v>2014</v>
      </c>
      <c r="K6" s="118">
        <v>2015</v>
      </c>
      <c r="L6" s="118">
        <v>2016</v>
      </c>
      <c r="M6" s="118">
        <v>2017</v>
      </c>
      <c r="N6" s="118">
        <v>2018</v>
      </c>
      <c r="O6" s="130">
        <v>2019</v>
      </c>
      <c r="P6" s="130">
        <v>2020</v>
      </c>
      <c r="Q6" s="119">
        <v>2021</v>
      </c>
    </row>
    <row r="7" spans="1:17">
      <c r="A7" s="118" t="s">
        <v>55</v>
      </c>
      <c r="B7" s="122">
        <v>0.187</v>
      </c>
      <c r="C7" s="122">
        <v>0.193</v>
      </c>
      <c r="D7" s="122">
        <v>0.2</v>
      </c>
      <c r="E7" s="122">
        <v>0.2</v>
      </c>
      <c r="F7" s="122">
        <v>0.2</v>
      </c>
      <c r="G7" s="122">
        <v>0.196379110196852</v>
      </c>
      <c r="H7" s="122">
        <v>0.196873983531063</v>
      </c>
      <c r="I7" s="122">
        <v>0.19592403732601599</v>
      </c>
      <c r="J7" s="122">
        <v>0.19762442022930299</v>
      </c>
      <c r="K7" s="122">
        <v>0.20121857085516101</v>
      </c>
      <c r="L7" s="122">
        <v>0.196655577996911</v>
      </c>
      <c r="M7" s="122">
        <v>0.20101416250447099</v>
      </c>
      <c r="N7" s="122">
        <v>0.2054843517138599</v>
      </c>
      <c r="O7" s="129">
        <v>0.20699999999999999</v>
      </c>
      <c r="P7" s="129">
        <v>0.21277459950294994</v>
      </c>
      <c r="Q7" s="1256">
        <v>0.21</v>
      </c>
    </row>
    <row r="8" spans="1:17">
      <c r="A8" s="118" t="s">
        <v>56</v>
      </c>
      <c r="B8" s="122">
        <v>5.7000000000000002E-2</v>
      </c>
      <c r="C8" s="122">
        <v>0.06</v>
      </c>
      <c r="D8" s="122">
        <v>0.06</v>
      </c>
      <c r="E8" s="122">
        <v>7.0000000000000007E-2</v>
      </c>
      <c r="F8" s="122">
        <v>0.08</v>
      </c>
      <c r="G8" s="122">
        <v>9.3347644637823093E-2</v>
      </c>
      <c r="H8" s="122">
        <v>0.10411677882211701</v>
      </c>
      <c r="I8" s="122">
        <v>0.111537846055369</v>
      </c>
      <c r="J8" s="122">
        <v>0.11069117996588899</v>
      </c>
      <c r="K8" s="122">
        <v>0.116254090573208</v>
      </c>
      <c r="L8" s="122">
        <v>0.11925569715083099</v>
      </c>
      <c r="M8" s="122">
        <v>0.12738823206084299</v>
      </c>
      <c r="N8" s="122">
        <v>0.1321524762636562</v>
      </c>
      <c r="O8" s="129">
        <v>0.14399999999999999</v>
      </c>
      <c r="P8" s="129">
        <v>0.14951124563638568</v>
      </c>
      <c r="Q8" s="1256">
        <v>0.15</v>
      </c>
    </row>
    <row r="9" spans="1:17">
      <c r="A9" s="118" t="s">
        <v>57</v>
      </c>
      <c r="B9" s="122">
        <v>3.5000000000000003E-2</v>
      </c>
      <c r="C9" s="122">
        <v>4.1000000000000002E-2</v>
      </c>
      <c r="D9" s="122">
        <v>0.05</v>
      </c>
      <c r="E9" s="122">
        <v>0.05</v>
      </c>
      <c r="F9" s="122">
        <v>0.06</v>
      </c>
      <c r="G9" s="122">
        <v>5.6811754981292997E-2</v>
      </c>
      <c r="H9" s="122">
        <v>5.9472632598692197E-2</v>
      </c>
      <c r="I9" s="122">
        <v>5.7167786970010299E-2</v>
      </c>
      <c r="J9" s="122">
        <v>5.8975592430911203E-2</v>
      </c>
      <c r="K9" s="122">
        <v>6.3498914436684206E-2</v>
      </c>
      <c r="L9" s="122">
        <v>6.9464292093887298E-2</v>
      </c>
      <c r="M9" s="122">
        <v>7.0000000000000007E-2</v>
      </c>
      <c r="N9" s="122">
        <v>7.6936369920325973E-2</v>
      </c>
      <c r="O9" s="129">
        <v>8.1000000000000003E-2</v>
      </c>
      <c r="P9" s="129">
        <v>8.1474375650364209E-2</v>
      </c>
      <c r="Q9" s="1256">
        <v>0.09</v>
      </c>
    </row>
    <row r="10" spans="1:17">
      <c r="A10" s="118" t="s">
        <v>58</v>
      </c>
      <c r="B10" s="122">
        <v>0.03</v>
      </c>
      <c r="C10" s="122">
        <v>3.3000000000000002E-2</v>
      </c>
      <c r="D10" s="122">
        <v>0.03</v>
      </c>
      <c r="E10" s="122">
        <v>0.03</v>
      </c>
      <c r="F10" s="122">
        <v>0.04</v>
      </c>
      <c r="G10" s="122">
        <v>3.7337266926629802E-2</v>
      </c>
      <c r="H10" s="122">
        <v>3.3092397457110498E-2</v>
      </c>
      <c r="I10" s="122">
        <v>2.9117185506160399E-2</v>
      </c>
      <c r="J10" s="122">
        <v>3.04330002073596E-2</v>
      </c>
      <c r="K10" s="122">
        <v>2.9460772008609901E-2</v>
      </c>
      <c r="L10" s="122">
        <v>3.4052295019266099E-2</v>
      </c>
      <c r="M10" s="122">
        <v>0.04</v>
      </c>
      <c r="N10" s="122">
        <v>0.04</v>
      </c>
      <c r="O10" s="129">
        <v>4.3999999999999997E-2</v>
      </c>
      <c r="P10" s="129">
        <v>4.7307216879766259E-2</v>
      </c>
      <c r="Q10" s="1256">
        <v>0.05</v>
      </c>
    </row>
    <row r="11" spans="1:17">
      <c r="A11" s="118" t="s">
        <v>59</v>
      </c>
      <c r="B11" s="122">
        <v>0.16200000000000001</v>
      </c>
      <c r="C11" s="122">
        <v>0.16</v>
      </c>
      <c r="D11" s="122">
        <v>0.16</v>
      </c>
      <c r="E11" s="122">
        <v>0.15</v>
      </c>
      <c r="F11" s="122">
        <v>0.14000000000000001</v>
      </c>
      <c r="G11" s="122">
        <v>0.14464428786879099</v>
      </c>
      <c r="H11" s="122">
        <v>0.14113081013994999</v>
      </c>
      <c r="I11" s="122">
        <v>0.14678801934962299</v>
      </c>
      <c r="J11" s="122">
        <v>0.15827280543886099</v>
      </c>
      <c r="K11" s="122">
        <v>0.14850475286163001</v>
      </c>
      <c r="L11" s="122">
        <v>0.14350885645817699</v>
      </c>
      <c r="M11" s="122">
        <v>0.15</v>
      </c>
      <c r="N11" s="122">
        <v>0.14896451271186439</v>
      </c>
      <c r="O11" s="129">
        <v>0.15</v>
      </c>
      <c r="P11" s="129">
        <v>0.16293567345983317</v>
      </c>
      <c r="Q11" s="1256">
        <v>0.16</v>
      </c>
    </row>
    <row r="12" spans="1:17">
      <c r="A12" s="118" t="s">
        <v>51</v>
      </c>
      <c r="B12" s="122">
        <v>8.4000000000000005E-2</v>
      </c>
      <c r="C12" s="122">
        <v>0.10100000000000001</v>
      </c>
      <c r="D12" s="122">
        <v>7.0000000000000007E-2</v>
      </c>
      <c r="E12" s="122">
        <v>7.0000000000000007E-2</v>
      </c>
      <c r="F12" s="122">
        <v>0.08</v>
      </c>
      <c r="G12" s="122">
        <v>8.6032352199445203E-2</v>
      </c>
      <c r="H12" s="122">
        <v>7.8409039136179304E-2</v>
      </c>
      <c r="I12" s="122">
        <v>7.6355102390960702E-2</v>
      </c>
      <c r="J12" s="122">
        <v>8.3515752896237194E-2</v>
      </c>
      <c r="K12" s="122">
        <v>7.3264898773880802E-2</v>
      </c>
      <c r="L12" s="122">
        <v>7.53361339621096E-2</v>
      </c>
      <c r="M12" s="122">
        <v>7.8560193015032004E-2</v>
      </c>
      <c r="N12" s="122">
        <v>8.2199234802323939E-2</v>
      </c>
      <c r="O12" s="129">
        <v>7.5999999999999998E-2</v>
      </c>
      <c r="P12" s="129">
        <v>7.531410051216389E-2</v>
      </c>
      <c r="Q12" s="1256">
        <v>0.08</v>
      </c>
    </row>
    <row r="13" spans="1:17">
      <c r="A13" s="118" t="s">
        <v>60</v>
      </c>
      <c r="B13" s="122">
        <v>0.1</v>
      </c>
      <c r="C13" s="122">
        <v>0.105</v>
      </c>
      <c r="D13" s="122">
        <v>0.1</v>
      </c>
      <c r="E13" s="122">
        <v>0.1</v>
      </c>
      <c r="F13" s="122">
        <v>0.1</v>
      </c>
      <c r="G13" s="122">
        <v>0.10127301160982601</v>
      </c>
      <c r="H13" s="122">
        <v>9.8057435569973206E-2</v>
      </c>
      <c r="I13" s="122">
        <v>9.3339128545039701E-2</v>
      </c>
      <c r="J13" s="122">
        <v>9.3611005064439201E-2</v>
      </c>
      <c r="K13" s="122">
        <v>8.7783640680312594E-2</v>
      </c>
      <c r="L13" s="122">
        <v>8.51060098044088E-2</v>
      </c>
      <c r="M13" s="122">
        <v>8.7885266526013098E-2</v>
      </c>
      <c r="N13" s="122">
        <v>8.7885266526013098E-2</v>
      </c>
      <c r="O13" s="129">
        <v>9.1999999999999998E-2</v>
      </c>
      <c r="P13" s="129">
        <v>9.5098150801061238E-2</v>
      </c>
      <c r="Q13" s="1256">
        <v>0.09</v>
      </c>
    </row>
    <row r="14" spans="1:17">
      <c r="Q14" s="1255"/>
    </row>
    <row r="15" spans="1:17">
      <c r="B15" s="125"/>
      <c r="C15" s="125"/>
      <c r="D15" s="125"/>
      <c r="E15" s="125"/>
      <c r="F15" s="125"/>
      <c r="G15" s="125"/>
      <c r="H15" s="125"/>
      <c r="I15" s="125"/>
      <c r="J15" s="125"/>
      <c r="K15" s="125"/>
      <c r="L15" s="125"/>
      <c r="M15" s="125"/>
      <c r="N15" s="125"/>
      <c r="O15" s="125"/>
      <c r="P15" s="125"/>
      <c r="Q15" s="1257"/>
    </row>
    <row r="16" spans="1:17">
      <c r="Q16" s="1255"/>
    </row>
    <row r="17" spans="17:17">
      <c r="Q17" s="1255"/>
    </row>
    <row r="18" spans="17:17">
      <c r="Q18" s="1255"/>
    </row>
    <row r="19" spans="17:17">
      <c r="Q19" s="1255"/>
    </row>
    <row r="20" spans="17:17">
      <c r="Q20" s="1255"/>
    </row>
    <row r="21" spans="17:17">
      <c r="Q21" s="1255"/>
    </row>
    <row r="22" spans="17:17">
      <c r="Q22" s="1255"/>
    </row>
    <row r="23" spans="17:17">
      <c r="Q23" s="1255"/>
    </row>
    <row r="24" spans="17:17">
      <c r="Q24" s="1255"/>
    </row>
    <row r="25" spans="17:17">
      <c r="Q25" s="1255"/>
    </row>
    <row r="26" spans="17:17">
      <c r="Q26" s="1255"/>
    </row>
    <row r="27" spans="17:17">
      <c r="Q27" s="1255"/>
    </row>
    <row r="28" spans="17:17">
      <c r="Q28" s="1255"/>
    </row>
    <row r="29" spans="17:17">
      <c r="Q29" s="1255"/>
    </row>
    <row r="30" spans="17:17">
      <c r="Q30" s="1255"/>
    </row>
    <row r="31" spans="17:17">
      <c r="Q31" s="1255"/>
    </row>
    <row r="32" spans="17:17">
      <c r="Q32" s="1255"/>
    </row>
    <row r="33" spans="1:17">
      <c r="Q33" s="1255"/>
    </row>
    <row r="34" spans="1:17">
      <c r="Q34" s="1255"/>
    </row>
    <row r="35" spans="1:17">
      <c r="A35" s="118" t="s">
        <v>426</v>
      </c>
      <c r="B35" s="118">
        <v>2007</v>
      </c>
      <c r="C35" s="118">
        <v>2008</v>
      </c>
      <c r="D35" s="118">
        <v>2009</v>
      </c>
      <c r="E35" s="118">
        <v>2010</v>
      </c>
      <c r="F35" s="118">
        <v>2011</v>
      </c>
      <c r="G35" s="118">
        <v>2012</v>
      </c>
      <c r="H35" s="119">
        <v>2013</v>
      </c>
      <c r="I35" s="118">
        <v>2014</v>
      </c>
      <c r="J35" s="118">
        <v>2015</v>
      </c>
      <c r="K35" s="118">
        <v>2016</v>
      </c>
      <c r="L35" s="118">
        <v>2017</v>
      </c>
      <c r="M35" s="118">
        <v>2018</v>
      </c>
      <c r="N35" s="118">
        <v>2019</v>
      </c>
      <c r="O35" s="120">
        <v>2020</v>
      </c>
      <c r="P35" s="120">
        <v>2021</v>
      </c>
      <c r="Q35" s="119">
        <v>2022</v>
      </c>
    </row>
    <row r="36" spans="1:17">
      <c r="A36" s="118" t="s">
        <v>55</v>
      </c>
      <c r="B36" s="886">
        <v>0.56999999999999995</v>
      </c>
      <c r="C36" s="886">
        <v>0.55000000000000004</v>
      </c>
      <c r="D36" s="122">
        <v>0.49</v>
      </c>
      <c r="E36" s="122">
        <v>0.5</v>
      </c>
      <c r="F36" s="122">
        <v>0.52</v>
      </c>
      <c r="G36" s="122">
        <v>0.50870733465596596</v>
      </c>
      <c r="H36" s="122">
        <v>0.48744016132005402</v>
      </c>
      <c r="I36" s="122">
        <v>0.47378665774092998</v>
      </c>
      <c r="J36" s="122">
        <v>0.479991601111388</v>
      </c>
      <c r="K36" s="122">
        <v>0.46952060571780102</v>
      </c>
      <c r="L36" s="122">
        <v>0.45842579359109398</v>
      </c>
      <c r="M36" s="122">
        <v>0.44</v>
      </c>
      <c r="N36" s="122">
        <v>0.42801937846333321</v>
      </c>
      <c r="O36" s="123">
        <v>0.42017084466198962</v>
      </c>
      <c r="P36" s="123">
        <v>0.43366673952860835</v>
      </c>
      <c r="Q36" s="1256">
        <v>0.44</v>
      </c>
    </row>
    <row r="37" spans="1:17">
      <c r="A37" s="118" t="s">
        <v>56</v>
      </c>
      <c r="B37" s="886">
        <v>0.43</v>
      </c>
      <c r="C37" s="886">
        <v>0.39</v>
      </c>
      <c r="D37" s="122">
        <v>0.33</v>
      </c>
      <c r="E37" s="122">
        <v>0.34</v>
      </c>
      <c r="F37" s="122">
        <v>0.36</v>
      </c>
      <c r="G37" s="122">
        <v>0.34597728132295202</v>
      </c>
      <c r="H37" s="122">
        <v>0.33453159780242803</v>
      </c>
      <c r="I37" s="122">
        <v>0.33240090059357302</v>
      </c>
      <c r="J37" s="122">
        <v>0.322666709269259</v>
      </c>
      <c r="K37" s="122">
        <v>0.32482224885702399</v>
      </c>
      <c r="L37" s="122">
        <v>0.318445711957629</v>
      </c>
      <c r="M37" s="122">
        <v>0.31</v>
      </c>
      <c r="N37" s="122">
        <v>0.29105132774131859</v>
      </c>
      <c r="O37" s="123">
        <v>0.28646952343895382</v>
      </c>
      <c r="P37" s="123">
        <v>0.29256268593285167</v>
      </c>
      <c r="Q37" s="1256">
        <v>0.28999999999999998</v>
      </c>
    </row>
    <row r="38" spans="1:17">
      <c r="A38" s="118" t="s">
        <v>57</v>
      </c>
      <c r="B38" s="886">
        <v>0.23</v>
      </c>
      <c r="C38" s="886">
        <v>0.22</v>
      </c>
      <c r="D38" s="122">
        <v>0.18</v>
      </c>
      <c r="E38" s="122">
        <v>0.18</v>
      </c>
      <c r="F38" s="122">
        <v>0.2</v>
      </c>
      <c r="G38" s="122">
        <v>0.19447319071004299</v>
      </c>
      <c r="H38" s="122">
        <v>0.18657153911993299</v>
      </c>
      <c r="I38" s="122">
        <v>0.18071936677520201</v>
      </c>
      <c r="J38" s="122">
        <v>0.18</v>
      </c>
      <c r="K38" s="122">
        <v>0.19438228743613301</v>
      </c>
      <c r="L38" s="122">
        <v>0.18511266387698899</v>
      </c>
      <c r="M38" s="122">
        <v>0.17</v>
      </c>
      <c r="N38" s="122">
        <v>0.16749151189193598</v>
      </c>
      <c r="O38" s="123">
        <v>0.16</v>
      </c>
      <c r="P38" s="123">
        <v>0.173857507237556</v>
      </c>
      <c r="Q38" s="1256">
        <v>0.18</v>
      </c>
    </row>
    <row r="39" spans="1:17">
      <c r="A39" s="118" t="s">
        <v>58</v>
      </c>
      <c r="B39" s="886">
        <v>0.37</v>
      </c>
      <c r="C39" s="886">
        <v>0.38</v>
      </c>
      <c r="D39" s="122">
        <v>0.33</v>
      </c>
      <c r="E39" s="122">
        <v>0.39</v>
      </c>
      <c r="F39" s="122">
        <v>0.43</v>
      </c>
      <c r="G39" s="122">
        <v>0.41520258797876702</v>
      </c>
      <c r="H39" s="122">
        <v>0.40703500745730897</v>
      </c>
      <c r="I39" s="122">
        <v>0.409997064533905</v>
      </c>
      <c r="J39" s="122">
        <v>0.4</v>
      </c>
      <c r="K39" s="122">
        <v>0.40216226407605099</v>
      </c>
      <c r="L39" s="122">
        <v>0.37753288638564803</v>
      </c>
      <c r="M39" s="122">
        <v>0.36</v>
      </c>
      <c r="N39" s="122">
        <v>0.36</v>
      </c>
      <c r="O39" s="123">
        <v>0.34607802632355544</v>
      </c>
      <c r="P39" s="123">
        <v>0.4</v>
      </c>
      <c r="Q39" s="1256">
        <v>0.38</v>
      </c>
    </row>
    <row r="40" spans="1:17">
      <c r="A40" s="118" t="s">
        <v>59</v>
      </c>
      <c r="B40" s="886">
        <v>0.4</v>
      </c>
      <c r="C40" s="886">
        <v>0.39</v>
      </c>
      <c r="D40" s="122">
        <v>0.37</v>
      </c>
      <c r="E40" s="122">
        <v>0.4</v>
      </c>
      <c r="F40" s="122">
        <v>0.43</v>
      </c>
      <c r="G40" s="122">
        <v>0.42172483938126698</v>
      </c>
      <c r="H40" s="122">
        <v>0.40172030021363903</v>
      </c>
      <c r="I40" s="122">
        <v>0.409452592737655</v>
      </c>
      <c r="J40" s="122">
        <v>0.39295220884514898</v>
      </c>
      <c r="K40" s="122">
        <v>0.41421589302106299</v>
      </c>
      <c r="L40" s="122">
        <v>0.386475837619777</v>
      </c>
      <c r="M40" s="122">
        <v>0.41</v>
      </c>
      <c r="N40" s="122">
        <v>0.4</v>
      </c>
      <c r="O40" s="123">
        <v>0.4</v>
      </c>
      <c r="P40" s="123">
        <v>0.40662782283595139</v>
      </c>
      <c r="Q40" s="1256">
        <v>0.4</v>
      </c>
    </row>
    <row r="41" spans="1:17">
      <c r="Q41" s="1255"/>
    </row>
    <row r="42" spans="1:17">
      <c r="Q42" s="1255"/>
    </row>
    <row r="43" spans="1:17">
      <c r="Q43" s="1255"/>
    </row>
    <row r="44" spans="1:17">
      <c r="Q44" s="1255"/>
    </row>
    <row r="45" spans="1:17">
      <c r="Q45" s="1255"/>
    </row>
    <row r="46" spans="1:17">
      <c r="Q46" s="1255"/>
    </row>
    <row r="47" spans="1:17">
      <c r="Q47" s="1255"/>
    </row>
    <row r="48" spans="1:17">
      <c r="Q48" s="1255"/>
    </row>
    <row r="49" spans="1:17">
      <c r="Q49" s="1255"/>
    </row>
    <row r="50" spans="1:17">
      <c r="Q50" s="1255"/>
    </row>
    <row r="51" spans="1:17">
      <c r="Q51" s="1255"/>
    </row>
    <row r="52" spans="1:17">
      <c r="Q52" s="1255"/>
    </row>
    <row r="53" spans="1:17">
      <c r="Q53" s="1255"/>
    </row>
    <row r="54" spans="1:17">
      <c r="Q54" s="1255"/>
    </row>
    <row r="55" spans="1:17">
      <c r="Q55" s="1255"/>
    </row>
    <row r="56" spans="1:17">
      <c r="Q56" s="1255"/>
    </row>
    <row r="57" spans="1:17">
      <c r="Q57" s="1255"/>
    </row>
    <row r="58" spans="1:17">
      <c r="Q58" s="1255"/>
    </row>
    <row r="59" spans="1:17">
      <c r="Q59" s="1255"/>
    </row>
    <row r="60" spans="1:17">
      <c r="Q60" s="1255"/>
    </row>
    <row r="61" spans="1:17">
      <c r="Q61" s="1255"/>
    </row>
    <row r="62" spans="1:17">
      <c r="Q62" s="1255"/>
    </row>
    <row r="63" spans="1:17">
      <c r="Q63" s="1255"/>
    </row>
    <row r="64" spans="1:17">
      <c r="A64" s="118" t="s">
        <v>427</v>
      </c>
      <c r="B64" s="118">
        <v>2007</v>
      </c>
      <c r="C64" s="118">
        <v>2008</v>
      </c>
      <c r="D64" s="118">
        <v>2009</v>
      </c>
      <c r="E64" s="118">
        <v>2010</v>
      </c>
      <c r="F64" s="118">
        <v>2011</v>
      </c>
      <c r="G64" s="118">
        <v>2012</v>
      </c>
      <c r="H64" s="118">
        <v>2013</v>
      </c>
      <c r="I64" s="118">
        <v>2014</v>
      </c>
      <c r="J64" s="118">
        <v>2015</v>
      </c>
      <c r="K64" s="118">
        <v>2016</v>
      </c>
      <c r="L64" s="118">
        <v>2017</v>
      </c>
      <c r="M64" s="118">
        <v>2018</v>
      </c>
      <c r="N64" s="118">
        <v>2019</v>
      </c>
      <c r="O64" s="120">
        <v>2020</v>
      </c>
      <c r="P64" s="120">
        <v>2021</v>
      </c>
      <c r="Q64" s="119">
        <v>2022</v>
      </c>
    </row>
    <row r="65" spans="1:17">
      <c r="A65" s="118" t="s">
        <v>55</v>
      </c>
      <c r="B65" s="886">
        <v>0.56000000000000005</v>
      </c>
      <c r="C65" s="886">
        <v>0.56999999999999995</v>
      </c>
      <c r="D65" s="122">
        <v>0.57999999999999996</v>
      </c>
      <c r="E65" s="122">
        <v>0.53</v>
      </c>
      <c r="F65" s="122">
        <v>0.56000000000000005</v>
      </c>
      <c r="G65" s="122">
        <v>0.57999999999999996</v>
      </c>
      <c r="H65" s="122">
        <v>0.59</v>
      </c>
      <c r="I65" s="122">
        <v>0.61</v>
      </c>
      <c r="J65" s="122">
        <v>0.61</v>
      </c>
      <c r="K65" s="122">
        <v>0.59</v>
      </c>
      <c r="L65" s="122">
        <v>0.58885802282746502</v>
      </c>
      <c r="M65" s="122">
        <v>0.59</v>
      </c>
      <c r="N65" s="122">
        <v>0.58248349007199318</v>
      </c>
      <c r="O65" s="122">
        <v>0.59</v>
      </c>
      <c r="P65" s="122">
        <v>0.61012725344644747</v>
      </c>
      <c r="Q65" s="1256">
        <v>0.62</v>
      </c>
    </row>
    <row r="66" spans="1:17">
      <c r="A66" s="118" t="s">
        <v>56</v>
      </c>
      <c r="B66" s="886">
        <v>0.14000000000000001</v>
      </c>
      <c r="C66" s="886">
        <v>0.14000000000000001</v>
      </c>
      <c r="D66" s="122">
        <v>0.14000000000000001</v>
      </c>
      <c r="E66" s="122">
        <v>0.14000000000000001</v>
      </c>
      <c r="F66" s="122">
        <v>0.15</v>
      </c>
      <c r="G66" s="122">
        <v>0.15</v>
      </c>
      <c r="H66" s="122">
        <v>0.17</v>
      </c>
      <c r="I66" s="122">
        <v>0.18</v>
      </c>
      <c r="J66" s="122">
        <v>0.19</v>
      </c>
      <c r="K66" s="122">
        <v>0.2</v>
      </c>
      <c r="L66" s="122">
        <v>0.196339476072206</v>
      </c>
      <c r="M66" s="122">
        <v>0.2</v>
      </c>
      <c r="N66" s="122">
        <v>0.21745045767593491</v>
      </c>
      <c r="O66" s="123">
        <v>0.23</v>
      </c>
      <c r="P66" s="123">
        <v>0.24993775933609957</v>
      </c>
      <c r="Q66" s="1256">
        <v>0.26</v>
      </c>
    </row>
    <row r="67" spans="1:17">
      <c r="A67" s="118" t="s">
        <v>57</v>
      </c>
      <c r="B67" s="886">
        <v>0.18</v>
      </c>
      <c r="C67" s="886">
        <v>0.19</v>
      </c>
      <c r="D67" s="122">
        <v>0.17</v>
      </c>
      <c r="E67" s="122">
        <v>0.16</v>
      </c>
      <c r="F67" s="122">
        <v>0.16</v>
      </c>
      <c r="G67" s="122">
        <v>0.17</v>
      </c>
      <c r="H67" s="122">
        <v>0.16</v>
      </c>
      <c r="I67" s="122">
        <v>0.16</v>
      </c>
      <c r="J67" s="122">
        <v>0.17</v>
      </c>
      <c r="K67" s="122">
        <v>0.18</v>
      </c>
      <c r="L67" s="122">
        <v>0.18189720424856601</v>
      </c>
      <c r="M67" s="122">
        <v>0.18</v>
      </c>
      <c r="N67" s="122">
        <v>0.18</v>
      </c>
      <c r="O67" s="123">
        <v>0.17</v>
      </c>
      <c r="P67" s="123">
        <v>0.18243430617064008</v>
      </c>
      <c r="Q67" s="1256">
        <v>0.2</v>
      </c>
    </row>
    <row r="68" spans="1:17">
      <c r="A68" s="118" t="s">
        <v>58</v>
      </c>
      <c r="B68" s="886">
        <v>0.21</v>
      </c>
      <c r="C68" s="886">
        <v>0.2</v>
      </c>
      <c r="D68" s="122">
        <v>0.17</v>
      </c>
      <c r="E68" s="122">
        <v>0.16</v>
      </c>
      <c r="F68" s="122">
        <v>0.13</v>
      </c>
      <c r="G68" s="122">
        <v>0.11</v>
      </c>
      <c r="H68" s="122">
        <v>0.09</v>
      </c>
      <c r="I68" s="122">
        <v>0.09</v>
      </c>
      <c r="J68" s="122">
        <v>7.0000000000000007E-2</v>
      </c>
      <c r="K68" s="128">
        <v>0.06</v>
      </c>
      <c r="L68" s="128">
        <v>5.8122719120088803E-2</v>
      </c>
      <c r="M68" s="128">
        <v>0.05</v>
      </c>
      <c r="N68" s="128">
        <v>0.06</v>
      </c>
      <c r="O68" s="129">
        <v>0.06</v>
      </c>
      <c r="P68" s="129">
        <v>7.0000000000000007E-2</v>
      </c>
      <c r="Q68" s="1256">
        <v>0.06</v>
      </c>
    </row>
    <row r="69" spans="1:17">
      <c r="A69" s="118" t="s">
        <v>59</v>
      </c>
      <c r="B69" s="886">
        <v>0.12</v>
      </c>
      <c r="C69" s="886">
        <v>0.13</v>
      </c>
      <c r="D69" s="122">
        <v>0.13</v>
      </c>
      <c r="E69" s="122">
        <v>0.13</v>
      </c>
      <c r="F69" s="122">
        <v>0.13</v>
      </c>
      <c r="G69" s="122">
        <v>0.13</v>
      </c>
      <c r="H69" s="122">
        <v>0.13</v>
      </c>
      <c r="I69" s="122">
        <v>0.14000000000000001</v>
      </c>
      <c r="J69" s="122">
        <v>0.14000000000000001</v>
      </c>
      <c r="K69" s="122">
        <v>0.14000000000000001</v>
      </c>
      <c r="L69" s="122">
        <v>0.135426620710562</v>
      </c>
      <c r="M69" s="122">
        <v>0.16</v>
      </c>
      <c r="N69" s="122">
        <v>0.15</v>
      </c>
      <c r="O69" s="123">
        <v>0.17</v>
      </c>
      <c r="P69" s="123">
        <v>0.18241345788072191</v>
      </c>
      <c r="Q69" s="1256">
        <v>0.19</v>
      </c>
    </row>
    <row r="70" spans="1:17">
      <c r="Q70" s="1255"/>
    </row>
    <row r="71" spans="1:17">
      <c r="Q71" s="1255"/>
    </row>
    <row r="72" spans="1:17">
      <c r="Q72" s="1255"/>
    </row>
    <row r="73" spans="1:17">
      <c r="Q73" s="1255"/>
    </row>
    <row r="74" spans="1:17">
      <c r="Q74" s="1255"/>
    </row>
    <row r="75" spans="1:17">
      <c r="Q75" s="1255"/>
    </row>
    <row r="76" spans="1:17" s="121" customFormat="1" ht="12.75">
      <c r="Q76" s="1258"/>
    </row>
    <row r="77" spans="1:17" s="121" customFormat="1" ht="12.75">
      <c r="Q77" s="1258"/>
    </row>
    <row r="78" spans="1:17" s="121" customFormat="1" ht="12.75">
      <c r="Q78" s="1258"/>
    </row>
    <row r="79" spans="1:17" s="121" customFormat="1" ht="12.75">
      <c r="Q79" s="1258"/>
    </row>
    <row r="80" spans="1:17" s="121" customFormat="1" ht="12.75">
      <c r="Q80" s="1258"/>
    </row>
    <row r="81" spans="1:17" s="121" customFormat="1" ht="12.75">
      <c r="Q81" s="1258"/>
    </row>
    <row r="82" spans="1:17">
      <c r="F82" s="124"/>
      <c r="Q82" s="1255"/>
    </row>
    <row r="83" spans="1:17">
      <c r="Q83" s="1255"/>
    </row>
    <row r="84" spans="1:17">
      <c r="Q84" s="1255"/>
    </row>
    <row r="85" spans="1:17">
      <c r="Q85" s="1255"/>
    </row>
    <row r="86" spans="1:17">
      <c r="Q86" s="1255"/>
    </row>
    <row r="87" spans="1:17">
      <c r="Q87" s="1255"/>
    </row>
    <row r="88" spans="1:17">
      <c r="Q88" s="1255"/>
    </row>
    <row r="89" spans="1:17">
      <c r="Q89" s="1255"/>
    </row>
    <row r="90" spans="1:17">
      <c r="Q90" s="1255"/>
    </row>
    <row r="91" spans="1:17">
      <c r="Q91" s="1255"/>
    </row>
    <row r="92" spans="1:17">
      <c r="Q92" s="1255"/>
    </row>
    <row r="93" spans="1:17">
      <c r="A93" s="118" t="s">
        <v>263</v>
      </c>
      <c r="B93" s="118">
        <v>2007</v>
      </c>
      <c r="C93" s="118">
        <v>2008</v>
      </c>
      <c r="D93" s="118">
        <v>2009</v>
      </c>
      <c r="E93" s="118">
        <v>2010</v>
      </c>
      <c r="F93" s="118">
        <v>2011</v>
      </c>
      <c r="G93" s="118">
        <v>2012</v>
      </c>
      <c r="H93" s="118">
        <v>2013</v>
      </c>
      <c r="I93" s="118">
        <v>2014</v>
      </c>
      <c r="J93" s="118">
        <v>2015</v>
      </c>
      <c r="K93" s="118">
        <v>2016</v>
      </c>
      <c r="L93" s="118">
        <v>2017</v>
      </c>
      <c r="M93" s="118">
        <v>2018</v>
      </c>
      <c r="N93" s="118">
        <v>2019</v>
      </c>
      <c r="O93" s="120">
        <v>2020</v>
      </c>
      <c r="P93" s="120">
        <v>2021</v>
      </c>
      <c r="Q93" s="119">
        <v>2022</v>
      </c>
    </row>
    <row r="94" spans="1:17">
      <c r="A94" s="118" t="s">
        <v>55</v>
      </c>
      <c r="B94" s="886">
        <v>0.49</v>
      </c>
      <c r="C94" s="886">
        <v>0.5</v>
      </c>
      <c r="D94" s="122">
        <v>0.53</v>
      </c>
      <c r="E94" s="122">
        <v>0.56000000000000005</v>
      </c>
      <c r="F94" s="122">
        <v>0.56999999999999995</v>
      </c>
      <c r="G94" s="122">
        <v>0.56000000000000005</v>
      </c>
      <c r="H94" s="122">
        <v>0.57999999999999996</v>
      </c>
      <c r="I94" s="122">
        <v>0.6</v>
      </c>
      <c r="J94" s="122">
        <v>0.62</v>
      </c>
      <c r="K94" s="122">
        <v>0.64</v>
      </c>
      <c r="L94" s="122">
        <v>0.64286458086808396</v>
      </c>
      <c r="M94" s="122">
        <v>0.65</v>
      </c>
      <c r="N94" s="122">
        <v>0.65</v>
      </c>
      <c r="O94" s="123">
        <v>0.64</v>
      </c>
      <c r="P94" s="123">
        <v>0.63646724694160794</v>
      </c>
      <c r="Q94" s="1256">
        <v>0.63</v>
      </c>
    </row>
    <row r="95" spans="1:17">
      <c r="A95" s="118" t="s">
        <v>56</v>
      </c>
      <c r="B95" s="886">
        <v>0.08</v>
      </c>
      <c r="C95" s="886">
        <v>0.11</v>
      </c>
      <c r="D95" s="122">
        <v>0.12</v>
      </c>
      <c r="E95" s="122">
        <v>0.14000000000000001</v>
      </c>
      <c r="F95" s="122">
        <v>0.16</v>
      </c>
      <c r="G95" s="122">
        <v>0.18</v>
      </c>
      <c r="H95" s="122">
        <v>0.2</v>
      </c>
      <c r="I95" s="122">
        <v>0.22</v>
      </c>
      <c r="J95" s="122">
        <v>0.24</v>
      </c>
      <c r="K95" s="122">
        <v>0.23</v>
      </c>
      <c r="L95" s="122">
        <v>0.23612440311258301</v>
      </c>
      <c r="M95" s="122">
        <v>0.24</v>
      </c>
      <c r="N95" s="122">
        <v>0.25061419598688234</v>
      </c>
      <c r="O95" s="123">
        <v>0.26195347385203727</v>
      </c>
      <c r="P95" s="123">
        <v>0.26793113921853645</v>
      </c>
      <c r="Q95" s="1256">
        <v>0.28000000000000003</v>
      </c>
    </row>
    <row r="96" spans="1:17">
      <c r="A96" s="118" t="s">
        <v>57</v>
      </c>
      <c r="B96" s="886">
        <v>0.14000000000000001</v>
      </c>
      <c r="C96" s="886">
        <v>0.16</v>
      </c>
      <c r="D96" s="122">
        <v>0.17</v>
      </c>
      <c r="E96" s="122">
        <v>0.17</v>
      </c>
      <c r="F96" s="122">
        <v>0.17</v>
      </c>
      <c r="G96" s="122">
        <v>0.19</v>
      </c>
      <c r="H96" s="122">
        <v>0.19</v>
      </c>
      <c r="I96" s="122">
        <v>0.19</v>
      </c>
      <c r="J96" s="122">
        <v>0.2</v>
      </c>
      <c r="K96" s="122">
        <v>0.19</v>
      </c>
      <c r="L96" s="122">
        <v>0.19746896288806801</v>
      </c>
      <c r="M96" s="122">
        <v>0.2</v>
      </c>
      <c r="N96" s="122">
        <v>0.2</v>
      </c>
      <c r="O96" s="123">
        <v>0.19</v>
      </c>
      <c r="P96" s="123">
        <v>0.2</v>
      </c>
      <c r="Q96" s="1256">
        <v>0.22</v>
      </c>
    </row>
    <row r="97" spans="1:17">
      <c r="A97" s="118" t="s">
        <v>58</v>
      </c>
      <c r="B97" s="886">
        <v>0.27</v>
      </c>
      <c r="C97" s="886">
        <v>0.2</v>
      </c>
      <c r="D97" s="122">
        <v>0.25</v>
      </c>
      <c r="E97" s="122">
        <v>0.22</v>
      </c>
      <c r="F97" s="122">
        <v>0.2</v>
      </c>
      <c r="G97" s="122">
        <v>0.2</v>
      </c>
      <c r="H97" s="122">
        <v>0.2</v>
      </c>
      <c r="I97" s="122">
        <v>0.2</v>
      </c>
      <c r="J97" s="122">
        <v>0.17</v>
      </c>
      <c r="K97" s="122">
        <v>0.17</v>
      </c>
      <c r="L97" s="122">
        <v>0.140256673902281</v>
      </c>
      <c r="M97" s="122">
        <v>0.12</v>
      </c>
      <c r="N97" s="122">
        <v>0.12</v>
      </c>
      <c r="O97" s="123">
        <v>0.11</v>
      </c>
      <c r="P97" s="123">
        <v>0.10318185606354516</v>
      </c>
      <c r="Q97" s="1256">
        <v>0.09</v>
      </c>
    </row>
    <row r="98" spans="1:17">
      <c r="A98" s="118" t="s">
        <v>59</v>
      </c>
      <c r="B98" s="886">
        <v>0.1</v>
      </c>
      <c r="C98" s="886">
        <v>0.1</v>
      </c>
      <c r="D98" s="122">
        <v>0.11</v>
      </c>
      <c r="E98" s="122">
        <v>0.13</v>
      </c>
      <c r="F98" s="122">
        <v>0.14000000000000001</v>
      </c>
      <c r="G98" s="122">
        <v>0.16</v>
      </c>
      <c r="H98" s="122">
        <v>0.17</v>
      </c>
      <c r="I98" s="122">
        <v>0.18</v>
      </c>
      <c r="J98" s="122">
        <v>0.19</v>
      </c>
      <c r="K98" s="122">
        <v>0.19</v>
      </c>
      <c r="L98" s="122">
        <v>0.20003826502607999</v>
      </c>
      <c r="M98" s="122">
        <v>0.2</v>
      </c>
      <c r="N98" s="122">
        <v>0.21</v>
      </c>
      <c r="O98" s="123">
        <v>0.2</v>
      </c>
      <c r="P98" s="123">
        <v>0.21</v>
      </c>
      <c r="Q98" s="1256">
        <v>0.23</v>
      </c>
    </row>
    <row r="99" spans="1:17">
      <c r="Q99" s="1255"/>
    </row>
    <row r="100" spans="1:17">
      <c r="Q100" s="1255"/>
    </row>
    <row r="101" spans="1:17">
      <c r="Q101" s="1255"/>
    </row>
    <row r="102" spans="1:17">
      <c r="Q102" s="1255"/>
    </row>
    <row r="103" spans="1:17">
      <c r="Q103" s="1255"/>
    </row>
    <row r="104" spans="1:17">
      <c r="Q104" s="1255"/>
    </row>
    <row r="105" spans="1:17">
      <c r="Q105" s="1255"/>
    </row>
    <row r="106" spans="1:17">
      <c r="Q106" s="1255"/>
    </row>
    <row r="107" spans="1:17">
      <c r="Q107" s="1255"/>
    </row>
    <row r="108" spans="1:17">
      <c r="Q108" s="1255"/>
    </row>
    <row r="109" spans="1:17">
      <c r="Q109" s="1255"/>
    </row>
    <row r="110" spans="1:17">
      <c r="Q110" s="1255"/>
    </row>
    <row r="111" spans="1:17">
      <c r="Q111" s="1255"/>
    </row>
    <row r="112" spans="1:17">
      <c r="Q112" s="1255"/>
    </row>
    <row r="113" spans="1:17">
      <c r="Q113" s="1255"/>
    </row>
    <row r="114" spans="1:17">
      <c r="Q114" s="1255"/>
    </row>
    <row r="115" spans="1:17">
      <c r="Q115" s="1255"/>
    </row>
    <row r="116" spans="1:17">
      <c r="Q116" s="1255"/>
    </row>
    <row r="117" spans="1:17">
      <c r="Q117" s="1255"/>
    </row>
    <row r="118" spans="1:17">
      <c r="Q118" s="1255"/>
    </row>
    <row r="119" spans="1:17">
      <c r="Q119" s="1255"/>
    </row>
    <row r="120" spans="1:17">
      <c r="Q120" s="1255"/>
    </row>
    <row r="121" spans="1:17">
      <c r="Q121" s="1255"/>
    </row>
    <row r="122" spans="1:17">
      <c r="A122" s="118" t="s">
        <v>61</v>
      </c>
      <c r="B122" s="1083">
        <v>2003</v>
      </c>
      <c r="C122" s="1083">
        <v>2004</v>
      </c>
      <c r="D122" s="118">
        <v>2005</v>
      </c>
      <c r="E122" s="118">
        <v>2006</v>
      </c>
      <c r="F122" s="119">
        <v>2007</v>
      </c>
      <c r="G122" s="119">
        <v>2008</v>
      </c>
      <c r="H122" s="119">
        <v>2009</v>
      </c>
      <c r="I122" s="119">
        <v>2010</v>
      </c>
      <c r="J122" s="119">
        <v>2011</v>
      </c>
      <c r="K122" s="119">
        <v>2012</v>
      </c>
      <c r="L122" s="119">
        <v>2013</v>
      </c>
      <c r="M122" s="119">
        <v>2014</v>
      </c>
      <c r="N122" s="119">
        <v>2015</v>
      </c>
      <c r="O122" s="119">
        <v>2016</v>
      </c>
      <c r="P122" s="119">
        <v>2017</v>
      </c>
      <c r="Q122" s="119">
        <v>2018</v>
      </c>
    </row>
    <row r="123" spans="1:17">
      <c r="A123" s="118" t="s">
        <v>55</v>
      </c>
      <c r="B123" s="886">
        <v>0.87</v>
      </c>
      <c r="C123" s="886">
        <v>0.87</v>
      </c>
      <c r="D123" s="886">
        <v>0.9</v>
      </c>
      <c r="E123" s="886">
        <v>0.87</v>
      </c>
      <c r="F123" s="128">
        <v>0.90509868421052631</v>
      </c>
      <c r="G123" s="128">
        <v>0.923927664026304</v>
      </c>
      <c r="H123" s="128">
        <v>0.92701141327321401</v>
      </c>
      <c r="I123" s="128">
        <v>0.91365920511649157</v>
      </c>
      <c r="J123" s="128">
        <v>0.91704579921140428</v>
      </c>
      <c r="K123" s="1084">
        <v>0.83913111915630412</v>
      </c>
      <c r="L123" s="1084">
        <v>0.86698376250615061</v>
      </c>
      <c r="M123" s="1084">
        <v>0.86710334788937404</v>
      </c>
      <c r="N123" s="1084">
        <v>0.86671459381739757</v>
      </c>
      <c r="O123" s="1084">
        <v>0.86257514329651896</v>
      </c>
      <c r="P123" s="1084">
        <v>0.84181710565255996</v>
      </c>
      <c r="Q123" s="1256">
        <v>0.86</v>
      </c>
    </row>
    <row r="124" spans="1:17">
      <c r="A124" s="118" t="s">
        <v>56</v>
      </c>
      <c r="B124" s="886">
        <v>0.61</v>
      </c>
      <c r="C124" s="886">
        <v>0.62</v>
      </c>
      <c r="D124" s="886">
        <v>0.7</v>
      </c>
      <c r="E124" s="886">
        <v>0.69</v>
      </c>
      <c r="F124" s="128">
        <v>0.72397533550961191</v>
      </c>
      <c r="G124" s="128">
        <v>0.80061664953751288</v>
      </c>
      <c r="H124" s="128">
        <v>0.83573452999527631</v>
      </c>
      <c r="I124" s="128">
        <v>0.81772207563764288</v>
      </c>
      <c r="J124" s="128">
        <v>0.82463585273540541</v>
      </c>
      <c r="K124" s="1084">
        <v>0.76014964666759044</v>
      </c>
      <c r="L124" s="1084">
        <v>0.80945454545454543</v>
      </c>
      <c r="M124" s="1084">
        <v>0.77516059957173444</v>
      </c>
      <c r="N124" s="1084">
        <v>0.79798917246713075</v>
      </c>
      <c r="O124" s="1084">
        <v>0.80992390615091947</v>
      </c>
      <c r="P124" s="1084">
        <v>0.7720451863092227</v>
      </c>
      <c r="Q124" s="1256">
        <v>0.8</v>
      </c>
    </row>
    <row r="125" spans="1:17">
      <c r="A125" s="118" t="s">
        <v>57</v>
      </c>
      <c r="B125" s="886">
        <v>0.33</v>
      </c>
      <c r="C125" s="886">
        <v>0.41</v>
      </c>
      <c r="D125" s="886">
        <v>0.45</v>
      </c>
      <c r="E125" s="886">
        <v>0.46</v>
      </c>
      <c r="F125" s="128">
        <v>0.5826271186440678</v>
      </c>
      <c r="G125" s="128">
        <v>0.66942551119766314</v>
      </c>
      <c r="H125" s="128">
        <v>0.68544600938967137</v>
      </c>
      <c r="I125" s="128">
        <v>0.6683256309989335</v>
      </c>
      <c r="J125" s="128">
        <v>0.62814070351758799</v>
      </c>
      <c r="K125" s="1084">
        <v>0.41359223300970877</v>
      </c>
      <c r="L125" s="1084">
        <v>0.56873822975517896</v>
      </c>
      <c r="M125" s="1084">
        <v>0.6108802417831507</v>
      </c>
      <c r="N125" s="1084">
        <v>0.65722914307285774</v>
      </c>
      <c r="O125" s="1084">
        <v>0.6991334488734835</v>
      </c>
      <c r="P125" s="1084">
        <v>0.74959612277867527</v>
      </c>
      <c r="Q125" s="1256">
        <v>0.77</v>
      </c>
    </row>
    <row r="126" spans="1:17">
      <c r="A126" s="118" t="s">
        <v>58</v>
      </c>
      <c r="B126" s="886">
        <v>0.97</v>
      </c>
      <c r="C126" s="886">
        <v>0.92</v>
      </c>
      <c r="D126" s="886">
        <v>0.93</v>
      </c>
      <c r="E126" s="886">
        <v>0.92</v>
      </c>
      <c r="F126" s="128">
        <v>0.82513661202185795</v>
      </c>
      <c r="G126" s="128">
        <v>0.78974358974358971</v>
      </c>
      <c r="H126" s="128">
        <v>0.91501416430594906</v>
      </c>
      <c r="I126" s="128">
        <v>0.98009950248756217</v>
      </c>
      <c r="J126" s="128">
        <v>0.89121338912133896</v>
      </c>
      <c r="K126" s="1084">
        <v>0.87936932916852595</v>
      </c>
      <c r="L126" s="1084">
        <v>0.75609756097560976</v>
      </c>
      <c r="M126" s="1084">
        <v>0.71292775665399244</v>
      </c>
      <c r="N126" s="1084">
        <v>0.67571721311475408</v>
      </c>
      <c r="O126" s="1084">
        <v>0.84320922915574203</v>
      </c>
      <c r="P126" s="1084">
        <v>0.80497737556561089</v>
      </c>
      <c r="Q126" s="1256">
        <v>0.84</v>
      </c>
    </row>
    <row r="127" spans="1:17">
      <c r="A127" s="118" t="s">
        <v>59</v>
      </c>
      <c r="B127" s="886">
        <v>0.84</v>
      </c>
      <c r="C127" s="886">
        <v>0.8</v>
      </c>
      <c r="D127" s="886">
        <v>0.89</v>
      </c>
      <c r="E127" s="886">
        <v>0.89</v>
      </c>
      <c r="F127" s="128">
        <v>0.91616876551153603</v>
      </c>
      <c r="G127" s="128">
        <v>0.94548471201706563</v>
      </c>
      <c r="H127" s="128">
        <v>0.93071798667653594</v>
      </c>
      <c r="I127" s="128">
        <v>0.92047172664045962</v>
      </c>
      <c r="J127" s="128">
        <v>0.94011283089830755</v>
      </c>
      <c r="K127" s="1084">
        <v>0.77182770663562283</v>
      </c>
      <c r="L127" s="1084">
        <v>0.90909090909090906</v>
      </c>
      <c r="M127" s="1084">
        <v>0.91942703670546111</v>
      </c>
      <c r="N127" s="1084">
        <v>0.91993817619783613</v>
      </c>
      <c r="O127" s="1084">
        <v>0.90847237971812733</v>
      </c>
      <c r="P127" s="1084">
        <v>0.89466840052015606</v>
      </c>
      <c r="Q127" s="1256">
        <v>0.84</v>
      </c>
    </row>
    <row r="128" spans="1:17">
      <c r="A128" s="118" t="s">
        <v>51</v>
      </c>
      <c r="B128" s="886">
        <v>0.98</v>
      </c>
      <c r="C128" s="886">
        <v>0.98</v>
      </c>
      <c r="D128" s="886">
        <v>0.97</v>
      </c>
      <c r="E128" s="886">
        <v>0.96</v>
      </c>
      <c r="F128" s="128">
        <v>0.96408839779005528</v>
      </c>
      <c r="G128" s="128">
        <v>0.97122302158273377</v>
      </c>
      <c r="H128" s="128">
        <v>0.97029702970297027</v>
      </c>
      <c r="I128" s="128">
        <v>0.96694214876033058</v>
      </c>
      <c r="J128" s="128">
        <v>0.82278481012658233</v>
      </c>
      <c r="K128" s="1084">
        <v>0.83069427527405604</v>
      </c>
      <c r="L128" s="1084">
        <v>0.74751491053677932</v>
      </c>
      <c r="M128" s="1084">
        <v>0.8620296465222349</v>
      </c>
      <c r="N128" s="1084">
        <v>0.88952164009111623</v>
      </c>
      <c r="O128" s="1084">
        <v>0.89392265193370168</v>
      </c>
      <c r="P128" s="1084">
        <v>0.89885664028144241</v>
      </c>
      <c r="Q128" s="1256">
        <v>0.89</v>
      </c>
    </row>
    <row r="129" spans="1:17">
      <c r="A129" s="118" t="s">
        <v>60</v>
      </c>
      <c r="B129" s="886">
        <v>0.72</v>
      </c>
      <c r="C129" s="886">
        <v>0.72</v>
      </c>
      <c r="D129" s="886">
        <v>0.79</v>
      </c>
      <c r="E129" s="886">
        <v>0.78</v>
      </c>
      <c r="F129" s="128">
        <v>0.82929585422699348</v>
      </c>
      <c r="G129" s="128">
        <v>0.88250591804754441</v>
      </c>
      <c r="H129" s="128">
        <v>0.88792178736706606</v>
      </c>
      <c r="I129" s="128">
        <v>0.8714233753637245</v>
      </c>
      <c r="J129" s="128">
        <v>0.87307953171537256</v>
      </c>
      <c r="K129" s="1084">
        <v>0.79481532750267414</v>
      </c>
      <c r="L129" s="1084">
        <v>0.84338668277215767</v>
      </c>
      <c r="M129" s="1084">
        <v>0.84122955442752401</v>
      </c>
      <c r="N129" s="1084">
        <v>0.84588083796601654</v>
      </c>
      <c r="O129" s="1084">
        <v>0.85478034535297109</v>
      </c>
      <c r="P129" s="1084">
        <v>0.84104459073407034</v>
      </c>
      <c r="Q129" s="1256">
        <v>0.85</v>
      </c>
    </row>
    <row r="130" spans="1:17">
      <c r="Q130" s="1255"/>
    </row>
    <row r="131" spans="1:17">
      <c r="A131" s="857" t="s">
        <v>429</v>
      </c>
      <c r="B131" s="857"/>
      <c r="C131" s="857"/>
      <c r="Q131" s="1255"/>
    </row>
    <row r="132" spans="1:17">
      <c r="Q132" s="1255"/>
    </row>
    <row r="133" spans="1:17">
      <c r="Q133" s="1255"/>
    </row>
    <row r="134" spans="1:17">
      <c r="Q134" s="1255"/>
    </row>
    <row r="135" spans="1:17">
      <c r="Q135" s="1255"/>
    </row>
    <row r="136" spans="1:17">
      <c r="Q136" s="1255"/>
    </row>
    <row r="137" spans="1:17">
      <c r="Q137" s="1255"/>
    </row>
    <row r="138" spans="1:17">
      <c r="Q138" s="1255"/>
    </row>
    <row r="139" spans="1:17">
      <c r="Q139" s="1255"/>
    </row>
    <row r="140" spans="1:17">
      <c r="Q140" s="1255"/>
    </row>
    <row r="141" spans="1:17">
      <c r="Q141" s="1255"/>
    </row>
    <row r="142" spans="1:17">
      <c r="Q142" s="1255"/>
    </row>
    <row r="143" spans="1:17">
      <c r="Q143" s="1255"/>
    </row>
    <row r="144" spans="1:17">
      <c r="Q144" s="1255"/>
    </row>
    <row r="145" spans="4:17">
      <c r="Q145" s="1255"/>
    </row>
    <row r="146" spans="4:17">
      <c r="Q146" s="1255"/>
    </row>
    <row r="147" spans="4:17">
      <c r="Q147" s="1255"/>
    </row>
    <row r="148" spans="4:17">
      <c r="Q148" s="1255"/>
    </row>
    <row r="149" spans="4:17">
      <c r="Q149" s="1255"/>
    </row>
    <row r="150" spans="4:17">
      <c r="Q150" s="1255"/>
    </row>
    <row r="151" spans="4:17">
      <c r="Q151" s="1255"/>
    </row>
    <row r="152" spans="4:17">
      <c r="Q152" s="1255"/>
    </row>
    <row r="153" spans="4:17">
      <c r="Q153" s="1255"/>
    </row>
    <row r="154" spans="4:17">
      <c r="Q154" s="1255"/>
    </row>
    <row r="155" spans="4:17">
      <c r="Q155" s="1255"/>
    </row>
    <row r="156" spans="4:17">
      <c r="Q156" s="1255"/>
    </row>
    <row r="157" spans="4:17">
      <c r="Q157" s="1255"/>
    </row>
    <row r="158" spans="4:17">
      <c r="Q158" s="1255"/>
    </row>
    <row r="159" spans="4:17">
      <c r="Q159" s="1255"/>
    </row>
    <row r="160" spans="4:17">
      <c r="D160" s="125"/>
      <c r="E160" s="125"/>
      <c r="F160" s="125"/>
      <c r="G160" s="125"/>
      <c r="H160" s="125"/>
      <c r="I160" s="125"/>
      <c r="J160" s="125"/>
      <c r="K160" s="125"/>
      <c r="L160" s="125"/>
      <c r="M160" s="125"/>
      <c r="Q160" s="1255"/>
    </row>
    <row r="161" spans="4:19">
      <c r="D161" s="125"/>
      <c r="E161" s="125"/>
      <c r="F161" s="125"/>
      <c r="G161" s="125"/>
      <c r="H161" s="125"/>
      <c r="I161" s="125"/>
      <c r="J161" s="125"/>
      <c r="K161" s="125"/>
      <c r="L161" s="125"/>
      <c r="M161" s="125"/>
      <c r="Q161" s="1255"/>
    </row>
    <row r="162" spans="4:19">
      <c r="D162" s="125"/>
      <c r="E162" s="125"/>
      <c r="F162" s="125"/>
      <c r="G162" s="125"/>
      <c r="H162" s="125"/>
      <c r="I162" s="125"/>
      <c r="J162" s="125"/>
      <c r="K162" s="125"/>
      <c r="L162" s="125"/>
      <c r="M162" s="125"/>
      <c r="Q162" s="1255"/>
    </row>
    <row r="163" spans="4:19">
      <c r="D163" s="125"/>
      <c r="E163" s="125"/>
      <c r="F163" s="125"/>
      <c r="G163" s="125"/>
      <c r="H163" s="125"/>
      <c r="I163" s="125"/>
      <c r="J163" s="125"/>
      <c r="K163" s="125"/>
      <c r="L163" s="125"/>
      <c r="M163" s="125"/>
      <c r="Q163" s="1255"/>
    </row>
    <row r="164" spans="4:19">
      <c r="Q164" s="1255"/>
    </row>
    <row r="165" spans="4:19">
      <c r="Q165" s="1255"/>
    </row>
    <row r="166" spans="4:19">
      <c r="Q166" s="1255"/>
    </row>
    <row r="167" spans="4:19">
      <c r="Q167" s="1255"/>
      <c r="S167" s="126"/>
    </row>
    <row r="168" spans="4:19">
      <c r="Q168" s="1255"/>
    </row>
    <row r="169" spans="4:19">
      <c r="Q169" s="1255"/>
    </row>
    <row r="170" spans="4:19">
      <c r="Q170" s="1255"/>
    </row>
    <row r="171" spans="4:19">
      <c r="Q171" s="1255"/>
    </row>
    <row r="172" spans="4:19">
      <c r="Q172" s="1255"/>
    </row>
    <row r="173" spans="4:19">
      <c r="Q173" s="1255"/>
    </row>
    <row r="174" spans="4:19">
      <c r="Q174" s="1255"/>
    </row>
    <row r="175" spans="4:19">
      <c r="Q175" s="1255"/>
    </row>
    <row r="176" spans="4:19">
      <c r="Q176" s="1255"/>
    </row>
    <row r="177" spans="17:17">
      <c r="Q177" s="1255"/>
    </row>
    <row r="178" spans="17:17">
      <c r="Q178" s="1255"/>
    </row>
    <row r="179" spans="17:17">
      <c r="Q179" s="1255"/>
    </row>
    <row r="180" spans="17:17">
      <c r="Q180" s="1255"/>
    </row>
    <row r="181" spans="17:17">
      <c r="Q181" s="1255"/>
    </row>
    <row r="182" spans="17:17">
      <c r="Q182" s="1255"/>
    </row>
    <row r="183" spans="17:17">
      <c r="Q183" s="1255"/>
    </row>
    <row r="184" spans="17:17">
      <c r="Q184" s="1255"/>
    </row>
    <row r="185" spans="17:17">
      <c r="Q185" s="1255"/>
    </row>
    <row r="186" spans="17:17">
      <c r="Q186" s="1255"/>
    </row>
    <row r="187" spans="17:17">
      <c r="Q187" s="1255"/>
    </row>
    <row r="188" spans="17:17">
      <c r="Q188" s="1255"/>
    </row>
    <row r="189" spans="17:17">
      <c r="Q189" s="1255"/>
    </row>
    <row r="190" spans="17:17">
      <c r="Q190" s="1255"/>
    </row>
    <row r="191" spans="17:17">
      <c r="Q191" s="1255"/>
    </row>
    <row r="192" spans="17:17">
      <c r="Q192" s="1255"/>
    </row>
    <row r="193" spans="8:17">
      <c r="Q193" s="1255"/>
    </row>
    <row r="194" spans="8:17">
      <c r="Q194" s="1255"/>
    </row>
    <row r="195" spans="8:17">
      <c r="Q195" s="1255"/>
    </row>
    <row r="196" spans="8:17">
      <c r="Q196" s="1255"/>
    </row>
    <row r="197" spans="8:17">
      <c r="Q197" s="1255"/>
    </row>
    <row r="198" spans="8:17">
      <c r="Q198" s="1255"/>
    </row>
    <row r="199" spans="8:17">
      <c r="Q199" s="1255"/>
    </row>
    <row r="200" spans="8:17">
      <c r="Q200" s="1255"/>
    </row>
    <row r="201" spans="8:17">
      <c r="Q201" s="1255"/>
    </row>
    <row r="202" spans="8:17">
      <c r="Q202" s="1255"/>
    </row>
    <row r="203" spans="8:17">
      <c r="Q203" s="1255"/>
    </row>
    <row r="204" spans="8:17">
      <c r="Q204" s="1255"/>
    </row>
    <row r="205" spans="8:17">
      <c r="Q205" s="1255"/>
    </row>
    <row r="206" spans="8:17">
      <c r="H206" s="127"/>
      <c r="I206" s="127"/>
      <c r="J206" s="127"/>
      <c r="K206" s="127"/>
      <c r="L206" s="127"/>
      <c r="Q206" s="1255"/>
    </row>
    <row r="207" spans="8:17">
      <c r="H207" s="127"/>
      <c r="I207" s="127"/>
      <c r="J207" s="127"/>
      <c r="K207" s="127"/>
      <c r="L207" s="127"/>
      <c r="Q207" s="1255"/>
    </row>
    <row r="208" spans="8:17">
      <c r="H208" s="127"/>
      <c r="I208" s="127"/>
      <c r="J208" s="127"/>
      <c r="K208" s="127"/>
      <c r="L208" s="127"/>
      <c r="Q208" s="1255"/>
    </row>
    <row r="209" spans="8:12">
      <c r="H209" s="127"/>
      <c r="I209" s="127"/>
      <c r="J209" s="127"/>
      <c r="K209" s="127"/>
      <c r="L209" s="127"/>
    </row>
    <row r="210" spans="8:12">
      <c r="H210" s="127"/>
      <c r="I210" s="127"/>
      <c r="J210" s="127"/>
      <c r="K210" s="127"/>
      <c r="L210" s="127"/>
    </row>
    <row r="211" spans="8:12">
      <c r="H211" s="127"/>
      <c r="I211" s="127"/>
      <c r="J211" s="127"/>
      <c r="K211" s="127"/>
      <c r="L211" s="127"/>
    </row>
    <row r="212" spans="8:12">
      <c r="H212" s="127"/>
      <c r="I212" s="127"/>
      <c r="J212" s="127"/>
      <c r="K212" s="127"/>
      <c r="L212" s="127"/>
    </row>
  </sheetData>
  <hyperlinks>
    <hyperlink ref="Q1" location="Content!A1" display="ToC" xr:uid="{DC60C12B-0DA4-452F-B508-FCD665BE3CCC}"/>
  </hyperlinks>
  <pageMargins left="0.69930555555555596" right="0.69930555555555596"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6338-A245-40BA-8A58-40A935A9B51B}">
  <dimension ref="A1:AC188"/>
  <sheetViews>
    <sheetView zoomScale="80" zoomScaleNormal="80" workbookViewId="0">
      <pane xSplit="1" ySplit="7" topLeftCell="B8" activePane="bottomRight" state="frozenSplit"/>
      <selection pane="topRight" activeCell="O1" sqref="O1"/>
      <selection pane="bottomLeft" activeCell="A28" sqref="A28"/>
      <selection pane="bottomRight"/>
    </sheetView>
  </sheetViews>
  <sheetFormatPr defaultRowHeight="15"/>
  <cols>
    <col min="1" max="1" width="28.85546875" customWidth="1"/>
  </cols>
  <sheetData>
    <row r="1" spans="1:29" ht="18.75">
      <c r="A1" s="856" t="s">
        <v>32</v>
      </c>
      <c r="B1" s="9"/>
      <c r="C1" s="9"/>
      <c r="D1" s="9"/>
      <c r="E1" s="9"/>
      <c r="F1" s="9"/>
      <c r="G1" s="9"/>
      <c r="H1" s="9"/>
      <c r="I1" s="9"/>
      <c r="J1" s="9"/>
      <c r="K1" s="9"/>
      <c r="L1" s="9"/>
      <c r="M1" s="9"/>
      <c r="N1" s="9"/>
      <c r="O1" s="9"/>
      <c r="P1" s="9"/>
      <c r="Q1" s="39"/>
      <c r="R1" s="39"/>
      <c r="S1" s="9"/>
      <c r="T1" s="9"/>
      <c r="U1" s="9"/>
      <c r="V1" s="9"/>
      <c r="W1" s="9"/>
      <c r="X1" s="9"/>
      <c r="Y1" s="9"/>
      <c r="Z1" s="9"/>
      <c r="AB1" s="888" t="s">
        <v>458</v>
      </c>
    </row>
    <row r="2" spans="1:29">
      <c r="A2" s="117" t="s">
        <v>48</v>
      </c>
      <c r="B2" s="9"/>
      <c r="C2" s="9"/>
      <c r="D2" s="9"/>
      <c r="E2" s="9"/>
      <c r="F2" s="9"/>
      <c r="G2" s="9"/>
      <c r="H2" s="9"/>
      <c r="I2" s="9"/>
      <c r="J2" s="9"/>
      <c r="K2" s="9"/>
      <c r="L2" s="9"/>
      <c r="M2" s="9"/>
      <c r="N2" s="9"/>
      <c r="O2" s="9"/>
      <c r="P2" s="9"/>
      <c r="Q2" s="39"/>
      <c r="R2" s="39"/>
      <c r="S2" s="9"/>
      <c r="T2" s="9"/>
      <c r="U2" s="9"/>
      <c r="V2" s="9"/>
      <c r="W2" s="9"/>
      <c r="X2" s="9"/>
      <c r="Y2" s="9"/>
      <c r="Z2" s="9"/>
    </row>
    <row r="3" spans="1:29">
      <c r="A3" s="115" t="s">
        <v>49</v>
      </c>
      <c r="B3" s="9"/>
      <c r="C3" s="9"/>
      <c r="D3" s="9"/>
      <c r="E3" s="9"/>
      <c r="F3" s="9"/>
      <c r="G3" s="9"/>
      <c r="H3" s="9"/>
      <c r="I3" s="9"/>
      <c r="J3" s="9"/>
      <c r="K3" s="9"/>
      <c r="L3" s="9"/>
      <c r="M3" s="9"/>
      <c r="N3" s="9"/>
      <c r="O3" s="9"/>
      <c r="P3" s="9"/>
      <c r="Q3" s="39"/>
      <c r="R3" s="39"/>
      <c r="S3" s="9"/>
      <c r="T3" s="9"/>
      <c r="U3" s="9"/>
      <c r="V3" s="9"/>
      <c r="W3" s="9"/>
      <c r="X3" s="9"/>
      <c r="Y3" s="9"/>
      <c r="Z3" s="9"/>
    </row>
    <row r="4" spans="1:29">
      <c r="A4" s="115" t="s">
        <v>430</v>
      </c>
      <c r="B4" s="9"/>
      <c r="C4" s="9"/>
      <c r="D4" s="9"/>
      <c r="E4" s="9"/>
      <c r="F4" s="9"/>
      <c r="G4" s="9"/>
      <c r="H4" s="9"/>
      <c r="I4" s="9"/>
      <c r="J4" s="9"/>
      <c r="K4" s="58"/>
      <c r="L4" s="58"/>
      <c r="M4" s="58"/>
      <c r="N4" s="58"/>
      <c r="O4" s="58"/>
      <c r="P4" s="58"/>
      <c r="Q4" s="58"/>
      <c r="R4" s="58"/>
      <c r="S4" s="9"/>
      <c r="T4" s="9"/>
      <c r="U4" s="9"/>
      <c r="V4" s="9"/>
      <c r="W4" s="9"/>
      <c r="X4" s="9"/>
      <c r="Y4" s="9"/>
      <c r="Z4" s="9"/>
    </row>
    <row r="5" spans="1:29">
      <c r="A5" s="9"/>
      <c r="B5" s="9"/>
      <c r="C5" s="9"/>
      <c r="D5" s="9"/>
      <c r="E5" s="9"/>
      <c r="F5" s="9"/>
      <c r="G5" s="9"/>
      <c r="H5" s="9"/>
      <c r="I5" s="9"/>
      <c r="J5" s="9"/>
      <c r="K5" s="58"/>
      <c r="L5" s="58"/>
      <c r="M5" s="58"/>
      <c r="N5" s="58"/>
      <c r="O5" s="58"/>
      <c r="P5" s="58"/>
      <c r="Q5" s="58"/>
      <c r="R5" s="58"/>
      <c r="S5" s="9"/>
      <c r="T5" s="9"/>
      <c r="U5" s="9"/>
      <c r="V5" s="9"/>
      <c r="W5" s="9"/>
      <c r="X5" s="9"/>
      <c r="Y5" s="9"/>
      <c r="Z5" s="9"/>
      <c r="AB5" s="1086"/>
      <c r="AC5" s="1086"/>
    </row>
    <row r="6" spans="1:29">
      <c r="A6" t="s">
        <v>431</v>
      </c>
      <c r="P6" s="58"/>
      <c r="Q6" s="58"/>
      <c r="R6" s="58"/>
      <c r="S6" s="9"/>
      <c r="T6" s="9"/>
      <c r="U6" s="9"/>
      <c r="V6" s="9"/>
      <c r="W6" s="9"/>
      <c r="X6" s="9"/>
      <c r="Y6" s="9"/>
      <c r="Z6" s="9"/>
      <c r="AB6" s="1086"/>
      <c r="AC6" s="1086"/>
    </row>
    <row r="7" spans="1:29">
      <c r="A7" s="94" t="s">
        <v>34</v>
      </c>
      <c r="B7" s="918">
        <f t="shared" ref="B7:L7" si="0">C7-1</f>
        <v>1996</v>
      </c>
      <c r="C7" s="94">
        <f t="shared" si="0"/>
        <v>1997</v>
      </c>
      <c r="D7" s="94">
        <f t="shared" si="0"/>
        <v>1998</v>
      </c>
      <c r="E7" s="94">
        <f t="shared" si="0"/>
        <v>1999</v>
      </c>
      <c r="F7" s="94">
        <f t="shared" si="0"/>
        <v>2000</v>
      </c>
      <c r="G7" s="94">
        <f t="shared" si="0"/>
        <v>2001</v>
      </c>
      <c r="H7" s="94">
        <f t="shared" si="0"/>
        <v>2002</v>
      </c>
      <c r="I7" s="94">
        <f t="shared" si="0"/>
        <v>2003</v>
      </c>
      <c r="J7" s="94">
        <f t="shared" si="0"/>
        <v>2004</v>
      </c>
      <c r="K7" s="94">
        <f t="shared" si="0"/>
        <v>2005</v>
      </c>
      <c r="L7" s="94">
        <f t="shared" si="0"/>
        <v>2006</v>
      </c>
      <c r="M7" s="94">
        <f>N7-1</f>
        <v>2007</v>
      </c>
      <c r="N7" s="94">
        <v>2008</v>
      </c>
      <c r="O7" s="94">
        <v>2009</v>
      </c>
      <c r="P7" s="94">
        <v>2010</v>
      </c>
      <c r="Q7" s="94">
        <v>2011</v>
      </c>
      <c r="R7" s="94">
        <v>2012</v>
      </c>
      <c r="S7" s="94">
        <v>2013</v>
      </c>
      <c r="T7" s="94">
        <v>2014</v>
      </c>
      <c r="U7" s="94">
        <v>2015</v>
      </c>
      <c r="V7" s="94">
        <v>2016</v>
      </c>
      <c r="W7" s="94">
        <v>2017</v>
      </c>
      <c r="X7" s="94">
        <v>2018</v>
      </c>
      <c r="Y7" s="94">
        <v>2019</v>
      </c>
      <c r="Z7" s="96">
        <v>2020</v>
      </c>
      <c r="AA7" s="96">
        <v>2021</v>
      </c>
      <c r="AB7" s="94">
        <v>2022</v>
      </c>
      <c r="AC7" s="1086"/>
    </row>
    <row r="8" spans="1:29">
      <c r="A8" s="94" t="s">
        <v>36</v>
      </c>
      <c r="B8" s="919">
        <v>5766</v>
      </c>
      <c r="C8" s="97">
        <v>6376</v>
      </c>
      <c r="D8" s="97">
        <v>8311</v>
      </c>
      <c r="E8" s="97">
        <v>10528</v>
      </c>
      <c r="F8" s="97">
        <v>13245</v>
      </c>
      <c r="G8" s="97">
        <v>15358</v>
      </c>
      <c r="H8" s="97">
        <v>14816</v>
      </c>
      <c r="I8" s="97">
        <v>15867</v>
      </c>
      <c r="J8" s="97">
        <v>18548</v>
      </c>
      <c r="K8" s="97">
        <v>21254</v>
      </c>
      <c r="L8" s="858">
        <v>23382</v>
      </c>
      <c r="M8" s="97">
        <v>26061</v>
      </c>
      <c r="N8" s="97">
        <v>29494</v>
      </c>
      <c r="O8" s="97">
        <v>27360</v>
      </c>
      <c r="P8" s="97">
        <v>28900</v>
      </c>
      <c r="Q8" s="97">
        <v>30893</v>
      </c>
      <c r="R8" s="97">
        <v>32430</v>
      </c>
      <c r="S8" s="97">
        <v>32036</v>
      </c>
      <c r="T8" s="97">
        <v>32902</v>
      </c>
      <c r="U8" s="97">
        <v>34151</v>
      </c>
      <c r="V8" s="97">
        <v>35288</v>
      </c>
      <c r="W8" s="97">
        <v>36619</v>
      </c>
      <c r="X8" s="97">
        <v>37937</v>
      </c>
      <c r="Y8" s="97">
        <v>37999</v>
      </c>
      <c r="Z8" s="98">
        <v>38872</v>
      </c>
      <c r="AA8" s="98">
        <v>38322</v>
      </c>
      <c r="AB8" s="1168">
        <v>38761</v>
      </c>
      <c r="AC8" s="1086"/>
    </row>
    <row r="9" spans="1:29">
      <c r="A9" s="94" t="s">
        <v>38</v>
      </c>
      <c r="B9" s="920">
        <v>3834</v>
      </c>
      <c r="C9" s="59">
        <v>4815</v>
      </c>
      <c r="D9" s="59">
        <v>6063</v>
      </c>
      <c r="E9" s="59">
        <v>7209</v>
      </c>
      <c r="F9" s="59">
        <v>9447</v>
      </c>
      <c r="G9" s="59">
        <v>11687</v>
      </c>
      <c r="H9" s="60">
        <v>13879</v>
      </c>
      <c r="I9" s="60">
        <v>17097</v>
      </c>
      <c r="J9" s="61">
        <v>20264</v>
      </c>
      <c r="K9" s="62">
        <v>24868</v>
      </c>
      <c r="L9" s="63">
        <v>27024</v>
      </c>
      <c r="M9" s="97">
        <v>27748</v>
      </c>
      <c r="N9" s="97">
        <v>28027</v>
      </c>
      <c r="O9" s="97">
        <v>29291</v>
      </c>
      <c r="P9" s="97">
        <v>31523</v>
      </c>
      <c r="Q9" s="97">
        <v>37972</v>
      </c>
      <c r="R9" s="97">
        <v>42787</v>
      </c>
      <c r="S9" s="97">
        <v>43075</v>
      </c>
      <c r="T9" s="97">
        <v>41292</v>
      </c>
      <c r="U9" s="97">
        <v>43097</v>
      </c>
      <c r="V9" s="97">
        <v>44495</v>
      </c>
      <c r="W9" s="97">
        <v>47425</v>
      </c>
      <c r="X9" s="97">
        <v>48630</v>
      </c>
      <c r="Y9" s="97">
        <v>51652</v>
      </c>
      <c r="Z9" s="98">
        <v>49313</v>
      </c>
      <c r="AA9" s="98">
        <v>49039</v>
      </c>
      <c r="AB9" s="1168">
        <v>48719</v>
      </c>
      <c r="AC9" s="1086"/>
    </row>
    <row r="10" spans="1:29">
      <c r="A10" s="94" t="s">
        <v>42</v>
      </c>
      <c r="B10" s="919">
        <v>281</v>
      </c>
      <c r="C10" s="97">
        <v>288</v>
      </c>
      <c r="D10" s="97">
        <v>495</v>
      </c>
      <c r="E10" s="97">
        <v>854</v>
      </c>
      <c r="F10" s="97">
        <v>1573</v>
      </c>
      <c r="G10" s="97">
        <v>2314</v>
      </c>
      <c r="H10" s="97">
        <v>2511</v>
      </c>
      <c r="I10" s="97">
        <v>2942</v>
      </c>
      <c r="J10" s="97">
        <v>3558</v>
      </c>
      <c r="K10" s="97">
        <v>4689</v>
      </c>
      <c r="L10" s="97">
        <v>5918</v>
      </c>
      <c r="M10" s="97">
        <v>7060</v>
      </c>
      <c r="N10" s="97">
        <v>7911</v>
      </c>
      <c r="O10" s="97">
        <v>8025</v>
      </c>
      <c r="P10" s="97">
        <v>9639</v>
      </c>
      <c r="Q10" s="97">
        <v>10413</v>
      </c>
      <c r="R10" s="97">
        <v>11869</v>
      </c>
      <c r="S10" s="97">
        <v>12439</v>
      </c>
      <c r="T10" s="97">
        <v>13138</v>
      </c>
      <c r="U10" s="97">
        <v>14593</v>
      </c>
      <c r="V10" s="97">
        <v>15595</v>
      </c>
      <c r="W10" s="97">
        <v>15789</v>
      </c>
      <c r="X10" s="97">
        <v>16990</v>
      </c>
      <c r="Y10" s="97">
        <v>18885</v>
      </c>
      <c r="Z10" s="98">
        <v>19675</v>
      </c>
      <c r="AA10" s="98">
        <v>20525</v>
      </c>
      <c r="AB10" s="1168">
        <v>21916</v>
      </c>
      <c r="AC10" s="1086"/>
    </row>
    <row r="11" spans="1:29">
      <c r="A11" s="94" t="s">
        <v>43</v>
      </c>
      <c r="B11" s="919">
        <v>118</v>
      </c>
      <c r="C11" s="97">
        <v>152</v>
      </c>
      <c r="D11" s="97">
        <v>322</v>
      </c>
      <c r="E11" s="97">
        <v>223</v>
      </c>
      <c r="F11" s="97">
        <v>745</v>
      </c>
      <c r="G11" s="97">
        <v>1656</v>
      </c>
      <c r="H11" s="97">
        <v>951</v>
      </c>
      <c r="I11" s="97">
        <v>1165</v>
      </c>
      <c r="J11" s="97">
        <v>1592</v>
      </c>
      <c r="K11" s="97">
        <v>2437</v>
      </c>
      <c r="L11" s="97">
        <v>3827</v>
      </c>
      <c r="M11" s="97">
        <v>5400</v>
      </c>
      <c r="N11" s="97">
        <v>6081</v>
      </c>
      <c r="O11" s="97">
        <v>8000</v>
      </c>
      <c r="P11" s="97">
        <v>12917</v>
      </c>
      <c r="Q11" s="97">
        <v>17471</v>
      </c>
      <c r="R11" s="97">
        <v>19924</v>
      </c>
      <c r="S11" s="97">
        <v>22927</v>
      </c>
      <c r="T11" s="97">
        <v>27088</v>
      </c>
      <c r="U11" s="97">
        <v>31044</v>
      </c>
      <c r="V11" s="97">
        <v>44463</v>
      </c>
      <c r="W11" s="97">
        <v>50657</v>
      </c>
      <c r="X11" s="97">
        <v>55204</v>
      </c>
      <c r="Y11" s="97">
        <v>60997</v>
      </c>
      <c r="Z11" s="98">
        <v>72340</v>
      </c>
      <c r="AA11" s="98">
        <v>73456</v>
      </c>
      <c r="AB11" s="1168">
        <v>74413</v>
      </c>
      <c r="AC11" s="1086"/>
    </row>
    <row r="12" spans="1:29">
      <c r="A12" s="94" t="s">
        <v>44</v>
      </c>
      <c r="B12" s="869">
        <v>20504</v>
      </c>
      <c r="C12" s="84">
        <v>22456</v>
      </c>
      <c r="D12" s="84">
        <v>27891</v>
      </c>
      <c r="E12" s="84">
        <v>29138</v>
      </c>
      <c r="F12" s="84">
        <v>38093</v>
      </c>
      <c r="G12" s="84">
        <v>43215</v>
      </c>
      <c r="H12" s="85">
        <v>41296</v>
      </c>
      <c r="I12" s="85">
        <v>41028</v>
      </c>
      <c r="J12" s="55">
        <v>43352</v>
      </c>
      <c r="K12" s="86">
        <v>46830</v>
      </c>
      <c r="L12" s="97">
        <v>51248</v>
      </c>
      <c r="M12" s="97">
        <v>53994</v>
      </c>
      <c r="N12" s="97">
        <v>52053</v>
      </c>
      <c r="O12" s="97">
        <v>46055</v>
      </c>
      <c r="P12" s="97">
        <v>45228</v>
      </c>
      <c r="Q12" s="97">
        <v>49366</v>
      </c>
      <c r="R12" s="97">
        <v>52009</v>
      </c>
      <c r="S12" s="97">
        <v>57678</v>
      </c>
      <c r="T12" s="97">
        <v>61963</v>
      </c>
      <c r="U12" s="97">
        <v>57419</v>
      </c>
      <c r="V12" s="97">
        <v>56665</v>
      </c>
      <c r="W12" s="97">
        <v>56256</v>
      </c>
      <c r="X12" s="97">
        <v>55230</v>
      </c>
      <c r="Y12" s="97">
        <v>56230</v>
      </c>
      <c r="Z12" s="98">
        <v>55848</v>
      </c>
      <c r="AA12" s="98">
        <v>56428</v>
      </c>
      <c r="AB12" s="1168">
        <v>55247</v>
      </c>
      <c r="AC12" s="1086"/>
    </row>
    <row r="13" spans="1:29">
      <c r="A13" s="94" t="s">
        <v>51</v>
      </c>
      <c r="B13" s="921">
        <v>17711</v>
      </c>
      <c r="C13" s="98">
        <v>22973</v>
      </c>
      <c r="D13" s="98">
        <v>23978</v>
      </c>
      <c r="E13" s="98">
        <v>28403</v>
      </c>
      <c r="F13" s="98">
        <v>30126</v>
      </c>
      <c r="G13" s="98">
        <v>33995</v>
      </c>
      <c r="H13" s="98">
        <v>36933</v>
      </c>
      <c r="I13" s="98">
        <v>37099</v>
      </c>
      <c r="J13" s="98">
        <v>35312</v>
      </c>
      <c r="K13" s="98">
        <v>36664</v>
      </c>
      <c r="L13" s="98">
        <v>38223</v>
      </c>
      <c r="M13" s="98">
        <v>39658</v>
      </c>
      <c r="N13" s="98">
        <v>39674</v>
      </c>
      <c r="O13" s="97">
        <v>39674</v>
      </c>
      <c r="P13" s="97">
        <v>36671</v>
      </c>
      <c r="Q13" s="97">
        <v>36133</v>
      </c>
      <c r="R13" s="97">
        <v>36322</v>
      </c>
      <c r="S13" s="97">
        <v>36315</v>
      </c>
      <c r="T13" s="97">
        <v>37125</v>
      </c>
      <c r="U13" s="97">
        <v>37897</v>
      </c>
      <c r="V13" s="97">
        <v>36551</v>
      </c>
      <c r="W13" s="97">
        <v>36599</v>
      </c>
      <c r="X13" s="97">
        <v>36599</v>
      </c>
      <c r="Y13" s="97">
        <v>38539</v>
      </c>
      <c r="Z13" s="98">
        <v>38785</v>
      </c>
      <c r="AA13" s="98">
        <v>39326</v>
      </c>
      <c r="AB13" s="1168">
        <v>38383</v>
      </c>
      <c r="AC13" s="1086"/>
    </row>
    <row r="14" spans="1:29">
      <c r="A14" s="94" t="s">
        <v>52</v>
      </c>
      <c r="B14" s="921">
        <v>48214</v>
      </c>
      <c r="C14" s="98">
        <v>57060</v>
      </c>
      <c r="D14" s="98">
        <v>67060</v>
      </c>
      <c r="E14" s="98">
        <v>76355</v>
      </c>
      <c r="F14" s="98">
        <v>93229</v>
      </c>
      <c r="G14" s="98">
        <v>108225</v>
      </c>
      <c r="H14" s="98">
        <v>110386</v>
      </c>
      <c r="I14" s="98">
        <v>115198</v>
      </c>
      <c r="J14" s="98">
        <v>122626</v>
      </c>
      <c r="K14" s="98">
        <v>136742</v>
      </c>
      <c r="L14" s="98">
        <v>149622</v>
      </c>
      <c r="M14" s="98">
        <v>159921</v>
      </c>
      <c r="N14" s="97">
        <v>163240</v>
      </c>
      <c r="O14" s="97">
        <v>155402</v>
      </c>
      <c r="P14" s="97">
        <v>164340</v>
      </c>
      <c r="Q14" s="97">
        <v>182437</v>
      </c>
      <c r="R14" s="97">
        <v>195334</v>
      </c>
      <c r="S14" s="97">
        <v>205280</v>
      </c>
      <c r="T14" s="97">
        <v>214280</v>
      </c>
      <c r="U14" s="97">
        <v>216855</v>
      </c>
      <c r="V14" s="97">
        <v>232853</v>
      </c>
      <c r="W14" s="97">
        <v>243345</v>
      </c>
      <c r="X14" s="97">
        <v>252530</v>
      </c>
      <c r="Y14" s="97">
        <v>265357</v>
      </c>
      <c r="Z14" s="98">
        <f>SUM(Z8:Z13)</f>
        <v>274833</v>
      </c>
      <c r="AA14" s="98">
        <f>SUM(AA8:AA13)</f>
        <v>277096</v>
      </c>
      <c r="AB14" s="1168">
        <f>SUM(AB8:AB13)</f>
        <v>277439</v>
      </c>
      <c r="AC14" s="1086"/>
    </row>
    <row r="15" spans="1:29">
      <c r="A15" s="9"/>
      <c r="B15" s="9"/>
      <c r="C15" s="9"/>
      <c r="D15" s="9"/>
      <c r="E15" s="9"/>
      <c r="F15" s="9"/>
      <c r="G15" s="9"/>
      <c r="H15" s="9"/>
      <c r="I15" s="9"/>
      <c r="J15" s="9"/>
      <c r="K15" s="58"/>
      <c r="L15" s="58"/>
      <c r="M15" s="58"/>
      <c r="N15" s="58"/>
      <c r="O15" s="58"/>
      <c r="P15" s="58"/>
      <c r="Q15" s="58"/>
      <c r="R15" s="58"/>
      <c r="S15" s="9"/>
      <c r="T15" s="9"/>
      <c r="U15" s="9"/>
      <c r="V15" s="9"/>
      <c r="W15" s="9"/>
      <c r="X15" s="9"/>
      <c r="Y15" s="9"/>
      <c r="Z15" s="9"/>
      <c r="AB15" s="1086"/>
      <c r="AC15" s="1086"/>
    </row>
    <row r="16" spans="1:29">
      <c r="A16" s="9"/>
      <c r="B16" s="9"/>
      <c r="C16" s="9"/>
      <c r="D16" s="9"/>
      <c r="E16" s="9"/>
      <c r="F16" s="9"/>
      <c r="G16" s="9"/>
      <c r="H16" s="9"/>
      <c r="I16" s="9"/>
      <c r="J16" s="9"/>
      <c r="K16" s="58"/>
      <c r="L16" s="58"/>
      <c r="M16" s="58"/>
      <c r="N16" s="58"/>
      <c r="O16" s="58"/>
      <c r="P16" s="58"/>
      <c r="Q16" s="58"/>
      <c r="R16" s="58"/>
      <c r="S16" s="9"/>
      <c r="T16" s="9"/>
      <c r="U16" s="9"/>
      <c r="V16" s="9"/>
      <c r="W16" s="9"/>
      <c r="X16" s="9"/>
      <c r="Y16" s="9"/>
      <c r="Z16" s="9"/>
      <c r="AB16" s="1086"/>
      <c r="AC16" s="1086"/>
    </row>
    <row r="17" spans="1:29">
      <c r="A17" t="s">
        <v>432</v>
      </c>
      <c r="P17" s="58"/>
      <c r="Q17" s="58"/>
      <c r="R17" s="58"/>
      <c r="S17" s="9"/>
      <c r="T17" s="9"/>
      <c r="U17" s="9"/>
      <c r="V17" s="9"/>
      <c r="W17" s="9"/>
      <c r="X17" s="9"/>
      <c r="Y17" s="9"/>
      <c r="Z17" s="9"/>
      <c r="AB17" s="1086"/>
      <c r="AC17" s="1086"/>
    </row>
    <row r="18" spans="1:29">
      <c r="A18" s="94" t="s">
        <v>34</v>
      </c>
      <c r="B18" s="918">
        <f t="shared" ref="B18:L18" si="1">C18-1</f>
        <v>1996</v>
      </c>
      <c r="C18" s="94">
        <f t="shared" si="1"/>
        <v>1997</v>
      </c>
      <c r="D18" s="94">
        <f t="shared" si="1"/>
        <v>1998</v>
      </c>
      <c r="E18" s="94">
        <f t="shared" si="1"/>
        <v>1999</v>
      </c>
      <c r="F18" s="94">
        <f t="shared" si="1"/>
        <v>2000</v>
      </c>
      <c r="G18" s="94">
        <f t="shared" si="1"/>
        <v>2001</v>
      </c>
      <c r="H18" s="94">
        <f t="shared" si="1"/>
        <v>2002</v>
      </c>
      <c r="I18" s="94">
        <f t="shared" si="1"/>
        <v>2003</v>
      </c>
      <c r="J18" s="94">
        <f t="shared" si="1"/>
        <v>2004</v>
      </c>
      <c r="K18" s="94">
        <f t="shared" si="1"/>
        <v>2005</v>
      </c>
      <c r="L18" s="94">
        <f t="shared" si="1"/>
        <v>2006</v>
      </c>
      <c r="M18" s="94">
        <f>N18-1</f>
        <v>2007</v>
      </c>
      <c r="N18" s="94">
        <v>2008</v>
      </c>
      <c r="O18" s="94">
        <v>2009</v>
      </c>
      <c r="P18" s="94">
        <v>2010</v>
      </c>
      <c r="Q18" s="94">
        <v>2011</v>
      </c>
      <c r="R18" s="94">
        <v>2012</v>
      </c>
      <c r="S18" s="94">
        <v>2013</v>
      </c>
      <c r="T18" s="94">
        <v>2014</v>
      </c>
      <c r="U18" s="94">
        <v>2015</v>
      </c>
      <c r="V18" s="94">
        <v>2016</v>
      </c>
      <c r="W18" s="94">
        <v>2017</v>
      </c>
      <c r="X18" s="94">
        <v>2018</v>
      </c>
      <c r="Y18" s="94">
        <v>2019</v>
      </c>
      <c r="Z18" s="96">
        <v>2020</v>
      </c>
      <c r="AA18" s="96">
        <v>2021</v>
      </c>
      <c r="AB18" s="94">
        <v>2022</v>
      </c>
      <c r="AC18" s="1086"/>
    </row>
    <row r="19" spans="1:29">
      <c r="A19" s="94" t="s">
        <v>36</v>
      </c>
      <c r="B19" s="922">
        <v>28250</v>
      </c>
      <c r="C19" s="69">
        <v>33110</v>
      </c>
      <c r="D19" s="69">
        <v>41710</v>
      </c>
      <c r="E19" s="69">
        <v>47420</v>
      </c>
      <c r="F19" s="69">
        <v>57210</v>
      </c>
      <c r="G19" s="69">
        <v>65987</v>
      </c>
      <c r="H19" s="70">
        <v>60426</v>
      </c>
      <c r="I19" s="70">
        <v>60885</v>
      </c>
      <c r="J19" s="71">
        <v>63201</v>
      </c>
      <c r="K19" s="72">
        <v>67119</v>
      </c>
      <c r="L19" s="73">
        <v>71513</v>
      </c>
      <c r="M19" s="70">
        <v>75387</v>
      </c>
      <c r="N19" s="70">
        <v>77907</v>
      </c>
      <c r="O19" s="97">
        <v>69960</v>
      </c>
      <c r="P19" s="97">
        <v>68937</v>
      </c>
      <c r="Q19" s="97">
        <v>71624</v>
      </c>
      <c r="R19" s="97">
        <v>75148</v>
      </c>
      <c r="S19" s="97">
        <v>77411</v>
      </c>
      <c r="T19" s="97">
        <v>79545</v>
      </c>
      <c r="U19" s="97">
        <v>79280</v>
      </c>
      <c r="V19" s="97">
        <v>79912</v>
      </c>
      <c r="W19" s="97">
        <v>81257</v>
      </c>
      <c r="X19" s="97">
        <v>82235</v>
      </c>
      <c r="Y19" s="97">
        <v>82452</v>
      </c>
      <c r="Z19" s="98">
        <v>83300</v>
      </c>
      <c r="AA19" s="98">
        <v>84013</v>
      </c>
      <c r="AB19" s="1168">
        <v>84128</v>
      </c>
      <c r="AC19" s="1086"/>
    </row>
    <row r="20" spans="1:29">
      <c r="A20" s="94" t="s">
        <v>38</v>
      </c>
      <c r="B20" s="922">
        <v>3605</v>
      </c>
      <c r="C20" s="69">
        <v>4604</v>
      </c>
      <c r="D20" s="69">
        <v>5640</v>
      </c>
      <c r="E20" s="69">
        <v>7003</v>
      </c>
      <c r="F20" s="69">
        <v>8961</v>
      </c>
      <c r="G20" s="69">
        <v>11091</v>
      </c>
      <c r="H20" s="70">
        <v>13161</v>
      </c>
      <c r="I20" s="70">
        <v>16142</v>
      </c>
      <c r="J20" s="71">
        <v>18696</v>
      </c>
      <c r="K20" s="72">
        <v>23020</v>
      </c>
      <c r="L20" s="63">
        <v>25146</v>
      </c>
      <c r="M20" s="97">
        <v>25947</v>
      </c>
      <c r="N20" s="97">
        <v>27117</v>
      </c>
      <c r="O20" s="97">
        <v>28446</v>
      </c>
      <c r="P20" s="97">
        <v>30856</v>
      </c>
      <c r="Q20" s="97">
        <v>37094</v>
      </c>
      <c r="R20" s="97">
        <v>41677</v>
      </c>
      <c r="S20" s="97">
        <v>42270</v>
      </c>
      <c r="T20" s="97">
        <v>40803</v>
      </c>
      <c r="U20" s="97">
        <v>43057</v>
      </c>
      <c r="V20" s="97">
        <v>44462</v>
      </c>
      <c r="W20" s="97">
        <v>47127</v>
      </c>
      <c r="X20" s="97">
        <v>48526</v>
      </c>
      <c r="Y20" s="97">
        <v>51736</v>
      </c>
      <c r="Z20" s="98">
        <v>49392</v>
      </c>
      <c r="AA20" s="98">
        <v>49145</v>
      </c>
      <c r="AB20" s="1168">
        <v>48925</v>
      </c>
      <c r="AC20" s="1086"/>
    </row>
    <row r="21" spans="1:29">
      <c r="A21" s="94" t="s">
        <v>42</v>
      </c>
      <c r="B21" s="919">
        <v>0</v>
      </c>
      <c r="C21" s="97">
        <v>0</v>
      </c>
      <c r="D21" s="97">
        <v>0</v>
      </c>
      <c r="E21" s="97">
        <v>86</v>
      </c>
      <c r="F21" s="97">
        <v>1287</v>
      </c>
      <c r="G21" s="97">
        <v>2052</v>
      </c>
      <c r="H21" s="97">
        <v>2247</v>
      </c>
      <c r="I21" s="97">
        <v>2595</v>
      </c>
      <c r="J21" s="71">
        <v>3211</v>
      </c>
      <c r="K21" s="72">
        <v>4230</v>
      </c>
      <c r="L21" s="97">
        <v>6673</v>
      </c>
      <c r="M21" s="97">
        <v>10238</v>
      </c>
      <c r="N21" s="97">
        <v>19018</v>
      </c>
      <c r="O21" s="97">
        <v>21714</v>
      </c>
      <c r="P21" s="97">
        <v>23310</v>
      </c>
      <c r="Q21" s="97">
        <v>27180</v>
      </c>
      <c r="R21" s="97">
        <v>27578</v>
      </c>
      <c r="S21" s="97">
        <v>30653</v>
      </c>
      <c r="T21" s="97">
        <v>30630</v>
      </c>
      <c r="U21" s="97">
        <v>29149</v>
      </c>
      <c r="V21" s="97">
        <v>28093</v>
      </c>
      <c r="W21" s="97">
        <v>26179</v>
      </c>
      <c r="X21" s="97">
        <v>26424</v>
      </c>
      <c r="Y21" s="97">
        <v>28288</v>
      </c>
      <c r="Z21" s="98">
        <v>28640</v>
      </c>
      <c r="AA21" s="98">
        <v>29278</v>
      </c>
      <c r="AB21" s="1168">
        <v>30577</v>
      </c>
      <c r="AC21" s="1086"/>
    </row>
    <row r="22" spans="1:29">
      <c r="A22" s="94" t="s">
        <v>43</v>
      </c>
      <c r="B22" s="919">
        <v>120</v>
      </c>
      <c r="C22" s="97">
        <v>156</v>
      </c>
      <c r="D22" s="97">
        <v>329</v>
      </c>
      <c r="E22" s="97">
        <v>238</v>
      </c>
      <c r="F22" s="97">
        <v>773</v>
      </c>
      <c r="G22" s="97">
        <v>1680</v>
      </c>
      <c r="H22" s="97">
        <v>978</v>
      </c>
      <c r="I22" s="97">
        <v>1225</v>
      </c>
      <c r="J22" s="97">
        <v>1652</v>
      </c>
      <c r="K22" s="97">
        <v>2484</v>
      </c>
      <c r="L22" s="97">
        <v>3893</v>
      </c>
      <c r="M22" s="97">
        <v>5492</v>
      </c>
      <c r="N22" s="97">
        <v>6081</v>
      </c>
      <c r="O22" s="97">
        <v>8095</v>
      </c>
      <c r="P22" s="97">
        <v>13271</v>
      </c>
      <c r="Q22" s="97">
        <v>18017</v>
      </c>
      <c r="R22" s="97">
        <v>20720</v>
      </c>
      <c r="S22" s="97">
        <v>23707</v>
      </c>
      <c r="T22" s="97">
        <v>27603</v>
      </c>
      <c r="U22" s="97">
        <v>31408</v>
      </c>
      <c r="V22" s="97">
        <v>44884</v>
      </c>
      <c r="W22" s="97">
        <v>51119</v>
      </c>
      <c r="X22" s="97">
        <v>55851</v>
      </c>
      <c r="Y22" s="97">
        <v>61419</v>
      </c>
      <c r="Z22" s="98">
        <v>72926</v>
      </c>
      <c r="AA22" s="98">
        <v>73045</v>
      </c>
      <c r="AB22" s="1168">
        <v>73908</v>
      </c>
      <c r="AC22" s="1086"/>
    </row>
    <row r="23" spans="1:29">
      <c r="A23" s="94" t="s">
        <v>44</v>
      </c>
      <c r="B23" s="922">
        <v>11914</v>
      </c>
      <c r="C23" s="69">
        <v>9750</v>
      </c>
      <c r="D23" s="69">
        <v>12859</v>
      </c>
      <c r="E23" s="69">
        <v>14116</v>
      </c>
      <c r="F23" s="69">
        <v>17503</v>
      </c>
      <c r="G23" s="69">
        <v>19413</v>
      </c>
      <c r="H23" s="70">
        <v>25525</v>
      </c>
      <c r="I23" s="70">
        <v>26476</v>
      </c>
      <c r="J23" s="71">
        <v>26896</v>
      </c>
      <c r="K23" s="72">
        <v>28622</v>
      </c>
      <c r="L23" s="97">
        <v>30541</v>
      </c>
      <c r="M23" s="97">
        <v>30506</v>
      </c>
      <c r="N23" s="97">
        <v>21380</v>
      </c>
      <c r="O23" s="97">
        <v>15462</v>
      </c>
      <c r="P23" s="97">
        <v>15902</v>
      </c>
      <c r="Q23" s="97">
        <v>16482</v>
      </c>
      <c r="R23" s="97">
        <v>17111</v>
      </c>
      <c r="S23" s="97">
        <v>16686</v>
      </c>
      <c r="T23" s="97">
        <v>21908</v>
      </c>
      <c r="U23" s="97">
        <v>20878</v>
      </c>
      <c r="V23" s="97">
        <v>20758</v>
      </c>
      <c r="W23" s="97">
        <v>21443</v>
      </c>
      <c r="X23" s="97">
        <v>21958</v>
      </c>
      <c r="Y23" s="97">
        <v>23136</v>
      </c>
      <c r="Z23" s="98">
        <v>22875</v>
      </c>
      <c r="AA23" s="98">
        <v>24035</v>
      </c>
      <c r="AB23" s="1168">
        <v>23971</v>
      </c>
      <c r="AC23" s="1086"/>
    </row>
    <row r="24" spans="1:29">
      <c r="A24" s="94" t="s">
        <v>51</v>
      </c>
      <c r="B24" s="921">
        <v>4325</v>
      </c>
      <c r="C24" s="98">
        <v>9440</v>
      </c>
      <c r="D24" s="98">
        <v>6522</v>
      </c>
      <c r="E24" s="98">
        <v>7492</v>
      </c>
      <c r="F24" s="98">
        <v>7495</v>
      </c>
      <c r="G24" s="98">
        <v>8002</v>
      </c>
      <c r="H24" s="98">
        <v>8049</v>
      </c>
      <c r="I24" s="98">
        <v>7875</v>
      </c>
      <c r="J24" s="98">
        <v>8970</v>
      </c>
      <c r="K24" s="98">
        <v>11267</v>
      </c>
      <c r="L24" s="98">
        <v>11856</v>
      </c>
      <c r="M24" s="98">
        <v>12351</v>
      </c>
      <c r="N24" s="98">
        <v>11737</v>
      </c>
      <c r="O24" s="102">
        <v>11710</v>
      </c>
      <c r="P24" s="102">
        <v>12032</v>
      </c>
      <c r="Q24" s="102">
        <v>11993</v>
      </c>
      <c r="R24" s="102">
        <v>13047</v>
      </c>
      <c r="S24" s="102">
        <v>14495</v>
      </c>
      <c r="T24" s="102">
        <v>13690</v>
      </c>
      <c r="U24" s="102">
        <v>13327</v>
      </c>
      <c r="V24" s="102">
        <v>14346</v>
      </c>
      <c r="W24" s="102">
        <v>16220</v>
      </c>
      <c r="X24" s="102">
        <v>17512</v>
      </c>
      <c r="Y24" s="102">
        <v>18326</v>
      </c>
      <c r="Z24" s="104">
        <v>17676</v>
      </c>
      <c r="AA24" s="103">
        <v>17580</v>
      </c>
      <c r="AB24" s="1168">
        <v>15930</v>
      </c>
      <c r="AC24" s="1086"/>
    </row>
    <row r="25" spans="1:29">
      <c r="A25" s="94" t="s">
        <v>52</v>
      </c>
      <c r="B25" s="921">
        <v>48214</v>
      </c>
      <c r="C25" s="98">
        <v>57060</v>
      </c>
      <c r="D25" s="98">
        <v>67060</v>
      </c>
      <c r="E25" s="98">
        <v>76355</v>
      </c>
      <c r="F25" s="98">
        <v>93229</v>
      </c>
      <c r="G25" s="98">
        <v>108225</v>
      </c>
      <c r="H25" s="98">
        <v>110386</v>
      </c>
      <c r="I25" s="98">
        <v>115198</v>
      </c>
      <c r="J25" s="98">
        <v>122626</v>
      </c>
      <c r="K25" s="98">
        <v>136742</v>
      </c>
      <c r="L25" s="98">
        <v>149622</v>
      </c>
      <c r="M25" s="98">
        <v>159921</v>
      </c>
      <c r="N25" s="97">
        <v>163240</v>
      </c>
      <c r="O25" s="97">
        <v>155402</v>
      </c>
      <c r="P25" s="97">
        <v>164340</v>
      </c>
      <c r="Q25" s="97">
        <v>182437</v>
      </c>
      <c r="R25" s="97">
        <v>195334</v>
      </c>
      <c r="S25" s="98">
        <f t="shared" ref="S25:X25" si="2">SUM(S19:S24)</f>
        <v>205222</v>
      </c>
      <c r="T25" s="98">
        <f t="shared" si="2"/>
        <v>214179</v>
      </c>
      <c r="U25" s="98">
        <f t="shared" si="2"/>
        <v>217099</v>
      </c>
      <c r="V25" s="98">
        <f t="shared" si="2"/>
        <v>232455</v>
      </c>
      <c r="W25" s="98">
        <f t="shared" si="2"/>
        <v>243345</v>
      </c>
      <c r="X25" s="98">
        <f t="shared" si="2"/>
        <v>252506</v>
      </c>
      <c r="Y25" s="98">
        <f>SUM(Y19:Y24)</f>
        <v>265357</v>
      </c>
      <c r="Z25" s="98">
        <f>SUM(Z19:Z24)</f>
        <v>274809</v>
      </c>
      <c r="AA25" s="98">
        <f>SUM(AA19:AA24)</f>
        <v>277096</v>
      </c>
      <c r="AB25" s="1168">
        <f>SUM(AB19:AB24)</f>
        <v>277439</v>
      </c>
      <c r="AC25" s="1086"/>
    </row>
    <row r="26" spans="1:29">
      <c r="A26" s="9"/>
      <c r="B26" s="9"/>
      <c r="C26" s="9"/>
      <c r="D26" s="9"/>
      <c r="E26" s="9"/>
      <c r="F26" s="9"/>
      <c r="G26" s="9"/>
      <c r="H26" s="9"/>
      <c r="I26" s="9"/>
      <c r="J26" s="9"/>
      <c r="K26" s="58"/>
      <c r="L26" s="58"/>
      <c r="M26" s="58"/>
      <c r="N26" s="58"/>
      <c r="O26" s="58"/>
      <c r="P26" s="58"/>
      <c r="Q26" s="58"/>
      <c r="R26" s="58"/>
      <c r="S26" s="9"/>
      <c r="T26" s="9"/>
      <c r="U26" s="9"/>
      <c r="V26" s="9"/>
      <c r="W26" s="9"/>
      <c r="X26" s="9"/>
      <c r="Y26" s="9"/>
      <c r="Z26" s="9"/>
      <c r="AB26" s="1086"/>
      <c r="AC26" s="1086"/>
    </row>
    <row r="27" spans="1:29">
      <c r="A27" t="s">
        <v>433</v>
      </c>
      <c r="P27" s="58"/>
      <c r="Q27" s="58"/>
      <c r="R27" s="58"/>
      <c r="S27" s="9"/>
      <c r="T27" s="9"/>
      <c r="U27" s="9"/>
      <c r="V27" s="9"/>
      <c r="W27" s="9"/>
      <c r="X27" s="9"/>
      <c r="Y27" s="9"/>
      <c r="Z27" s="9"/>
      <c r="AB27" s="1086"/>
      <c r="AC27" s="1086"/>
    </row>
    <row r="28" spans="1:29">
      <c r="A28" s="94" t="s">
        <v>34</v>
      </c>
      <c r="B28" s="918">
        <f t="shared" ref="B28:L28" si="3">C28-1</f>
        <v>1996</v>
      </c>
      <c r="C28" s="94">
        <f t="shared" si="3"/>
        <v>1997</v>
      </c>
      <c r="D28" s="94">
        <f t="shared" si="3"/>
        <v>1998</v>
      </c>
      <c r="E28" s="94">
        <f t="shared" si="3"/>
        <v>1999</v>
      </c>
      <c r="F28" s="94">
        <f t="shared" si="3"/>
        <v>2000</v>
      </c>
      <c r="G28" s="94">
        <f t="shared" si="3"/>
        <v>2001</v>
      </c>
      <c r="H28" s="94">
        <f t="shared" si="3"/>
        <v>2002</v>
      </c>
      <c r="I28" s="94">
        <f t="shared" si="3"/>
        <v>2003</v>
      </c>
      <c r="J28" s="94">
        <f t="shared" si="3"/>
        <v>2004</v>
      </c>
      <c r="K28" s="94">
        <f t="shared" si="3"/>
        <v>2005</v>
      </c>
      <c r="L28" s="94">
        <f t="shared" si="3"/>
        <v>2006</v>
      </c>
      <c r="M28" s="94">
        <f>N28-1</f>
        <v>2007</v>
      </c>
      <c r="N28" s="94">
        <v>2008</v>
      </c>
      <c r="O28" s="94">
        <v>2009</v>
      </c>
      <c r="P28" s="94">
        <v>2010</v>
      </c>
      <c r="Q28" s="94">
        <v>2011</v>
      </c>
      <c r="R28" s="94">
        <v>2012</v>
      </c>
      <c r="S28" s="94">
        <v>2013</v>
      </c>
      <c r="T28" s="94">
        <v>2014</v>
      </c>
      <c r="U28" s="94">
        <v>2015</v>
      </c>
      <c r="V28" s="94">
        <v>2016</v>
      </c>
      <c r="W28" s="94">
        <v>2017</v>
      </c>
      <c r="X28" s="94">
        <v>2018</v>
      </c>
      <c r="Y28" s="94">
        <v>2019</v>
      </c>
      <c r="Z28" s="96">
        <v>2020</v>
      </c>
      <c r="AA28" s="96">
        <v>2021</v>
      </c>
      <c r="AB28" s="94">
        <v>2022</v>
      </c>
      <c r="AC28" s="1086"/>
    </row>
    <row r="29" spans="1:29">
      <c r="A29" s="94" t="s">
        <v>36</v>
      </c>
      <c r="B29" s="923">
        <v>18110</v>
      </c>
      <c r="C29" s="76">
        <v>22010</v>
      </c>
      <c r="D29" s="76">
        <v>27600</v>
      </c>
      <c r="E29" s="76">
        <v>31770</v>
      </c>
      <c r="F29" s="76">
        <v>38863</v>
      </c>
      <c r="G29" s="76">
        <v>45938</v>
      </c>
      <c r="H29" s="77">
        <v>41054</v>
      </c>
      <c r="I29" s="77">
        <v>31472</v>
      </c>
      <c r="J29" s="78">
        <v>21642</v>
      </c>
      <c r="K29" s="79">
        <v>13878</v>
      </c>
      <c r="L29" s="858">
        <v>11602</v>
      </c>
      <c r="M29" s="97">
        <v>10586</v>
      </c>
      <c r="N29" s="101">
        <v>9862</v>
      </c>
      <c r="O29" s="112">
        <v>8592</v>
      </c>
      <c r="P29" s="112">
        <v>7918</v>
      </c>
      <c r="Q29" s="112">
        <v>7393</v>
      </c>
      <c r="R29" s="112">
        <v>7764</v>
      </c>
      <c r="S29" s="112">
        <v>7750</v>
      </c>
      <c r="T29" s="112">
        <v>8336</v>
      </c>
      <c r="U29" s="112">
        <v>8673</v>
      </c>
      <c r="V29" s="112">
        <v>8933</v>
      </c>
      <c r="W29" s="112">
        <v>7950</v>
      </c>
      <c r="X29" s="112">
        <v>7024</v>
      </c>
      <c r="Y29" s="112">
        <v>5733</v>
      </c>
      <c r="Z29" s="113">
        <v>5303</v>
      </c>
      <c r="AA29" s="98">
        <v>5173</v>
      </c>
      <c r="AB29" s="1168">
        <v>5035</v>
      </c>
      <c r="AC29" s="1086"/>
    </row>
    <row r="30" spans="1:29">
      <c r="A30" s="94" t="s">
        <v>38</v>
      </c>
      <c r="B30" s="923">
        <v>1605</v>
      </c>
      <c r="C30" s="76">
        <v>2139</v>
      </c>
      <c r="D30" s="76">
        <v>2754</v>
      </c>
      <c r="E30" s="76">
        <v>3541</v>
      </c>
      <c r="F30" s="76">
        <v>4608</v>
      </c>
      <c r="G30" s="76">
        <v>6139</v>
      </c>
      <c r="H30" s="77">
        <v>7038</v>
      </c>
      <c r="I30" s="77">
        <v>6785</v>
      </c>
      <c r="J30" s="78">
        <v>4208</v>
      </c>
      <c r="K30" s="79">
        <v>2526</v>
      </c>
      <c r="L30" s="63">
        <v>2580</v>
      </c>
      <c r="M30" s="97">
        <v>2555</v>
      </c>
      <c r="N30" s="101">
        <v>2122</v>
      </c>
      <c r="O30" s="112">
        <v>2152</v>
      </c>
      <c r="P30" s="112">
        <v>2121</v>
      </c>
      <c r="Q30" s="112">
        <v>2446</v>
      </c>
      <c r="R30" s="112">
        <v>2661</v>
      </c>
      <c r="S30" s="112">
        <v>2291</v>
      </c>
      <c r="T30" s="112">
        <v>2250</v>
      </c>
      <c r="U30" s="112">
        <v>2119</v>
      </c>
      <c r="V30" s="112">
        <v>2002</v>
      </c>
      <c r="W30" s="112">
        <v>2019</v>
      </c>
      <c r="X30" s="112">
        <v>1963</v>
      </c>
      <c r="Y30" s="112">
        <v>1749</v>
      </c>
      <c r="Z30" s="113">
        <v>1458</v>
      </c>
      <c r="AA30" s="98">
        <v>1381</v>
      </c>
      <c r="AB30" s="1168">
        <v>1156</v>
      </c>
      <c r="AC30" s="1086"/>
    </row>
    <row r="31" spans="1:29">
      <c r="A31" s="94" t="s">
        <v>42</v>
      </c>
      <c r="B31" s="919">
        <v>0</v>
      </c>
      <c r="C31" s="97">
        <v>0</v>
      </c>
      <c r="D31" s="97">
        <v>0</v>
      </c>
      <c r="E31" s="97">
        <v>10</v>
      </c>
      <c r="F31" s="97">
        <v>397</v>
      </c>
      <c r="G31" s="97">
        <v>968</v>
      </c>
      <c r="H31" s="97">
        <v>1364</v>
      </c>
      <c r="I31" s="97">
        <v>1079</v>
      </c>
      <c r="J31" s="97">
        <v>931</v>
      </c>
      <c r="K31" s="97">
        <v>652</v>
      </c>
      <c r="L31" s="97">
        <v>598</v>
      </c>
      <c r="M31" s="97">
        <v>511</v>
      </c>
      <c r="N31" s="101">
        <v>358</v>
      </c>
      <c r="O31" s="112">
        <v>340</v>
      </c>
      <c r="P31" s="112">
        <v>271</v>
      </c>
      <c r="Q31" s="112">
        <v>223</v>
      </c>
      <c r="R31" s="112">
        <v>299</v>
      </c>
      <c r="S31" s="112">
        <v>253</v>
      </c>
      <c r="T31" s="112">
        <v>234</v>
      </c>
      <c r="U31" s="112">
        <v>207</v>
      </c>
      <c r="V31" s="112">
        <v>178</v>
      </c>
      <c r="W31" s="112">
        <v>160</v>
      </c>
      <c r="X31" s="112">
        <v>125</v>
      </c>
      <c r="Y31" s="112">
        <v>128</v>
      </c>
      <c r="Z31" s="113">
        <v>109</v>
      </c>
      <c r="AA31" s="98">
        <v>124</v>
      </c>
      <c r="AB31" s="1168">
        <v>121</v>
      </c>
      <c r="AC31" s="1086"/>
    </row>
    <row r="32" spans="1:29">
      <c r="A32" s="94" t="s">
        <v>43</v>
      </c>
      <c r="B32" s="919">
        <v>72</v>
      </c>
      <c r="C32" s="97">
        <v>131</v>
      </c>
      <c r="D32" s="97">
        <v>120</v>
      </c>
      <c r="E32" s="97">
        <v>194</v>
      </c>
      <c r="F32" s="97">
        <v>267</v>
      </c>
      <c r="G32" s="97">
        <v>780</v>
      </c>
      <c r="H32" s="97">
        <v>675</v>
      </c>
      <c r="I32" s="97">
        <v>668</v>
      </c>
      <c r="J32" s="97">
        <v>500</v>
      </c>
      <c r="K32" s="97">
        <v>435</v>
      </c>
      <c r="L32" s="97">
        <v>364</v>
      </c>
      <c r="M32" s="97">
        <v>384</v>
      </c>
      <c r="N32" s="101">
        <v>416</v>
      </c>
      <c r="O32" s="112">
        <v>303</v>
      </c>
      <c r="P32" s="112">
        <v>362</v>
      </c>
      <c r="Q32" s="112">
        <v>421</v>
      </c>
      <c r="R32" s="112">
        <v>476</v>
      </c>
      <c r="S32" s="112">
        <v>384</v>
      </c>
      <c r="T32" s="112">
        <v>375</v>
      </c>
      <c r="U32" s="112">
        <v>387</v>
      </c>
      <c r="V32" s="112">
        <v>339</v>
      </c>
      <c r="W32" s="112">
        <v>376</v>
      </c>
      <c r="X32" s="112">
        <v>417</v>
      </c>
      <c r="Y32" s="112">
        <v>438</v>
      </c>
      <c r="Z32" s="113">
        <v>370</v>
      </c>
      <c r="AA32" s="98">
        <v>368</v>
      </c>
      <c r="AB32" s="1168">
        <v>293</v>
      </c>
      <c r="AC32" s="1086"/>
    </row>
    <row r="33" spans="1:29">
      <c r="A33" s="94" t="s">
        <v>44</v>
      </c>
      <c r="B33" s="926">
        <v>8736</v>
      </c>
      <c r="C33" s="927">
        <v>9233</v>
      </c>
      <c r="D33" s="927">
        <v>12003</v>
      </c>
      <c r="E33" s="927">
        <v>14615</v>
      </c>
      <c r="F33" s="927">
        <v>18110</v>
      </c>
      <c r="G33" s="927">
        <v>21257</v>
      </c>
      <c r="H33" s="928">
        <v>24685</v>
      </c>
      <c r="I33" s="928">
        <v>20165</v>
      </c>
      <c r="J33" s="929">
        <v>11591</v>
      </c>
      <c r="K33" s="928">
        <v>5575</v>
      </c>
      <c r="L33" s="97">
        <v>3903</v>
      </c>
      <c r="M33" s="97">
        <v>2996</v>
      </c>
      <c r="N33" s="101">
        <v>2937</v>
      </c>
      <c r="O33" s="112">
        <v>1875</v>
      </c>
      <c r="P33" s="112">
        <v>1460</v>
      </c>
      <c r="Q33" s="112">
        <v>1440</v>
      </c>
      <c r="R33" s="112">
        <v>1305</v>
      </c>
      <c r="S33" s="112">
        <v>1146</v>
      </c>
      <c r="T33" s="112">
        <v>1269</v>
      </c>
      <c r="U33" s="112">
        <v>1480</v>
      </c>
      <c r="V33" s="112">
        <v>1167</v>
      </c>
      <c r="W33" s="112">
        <v>1090</v>
      </c>
      <c r="X33" s="112">
        <v>998</v>
      </c>
      <c r="Y33" s="112">
        <v>994</v>
      </c>
      <c r="Z33" s="113">
        <v>864</v>
      </c>
      <c r="AA33" s="98">
        <v>878</v>
      </c>
      <c r="AB33" s="1168">
        <v>779</v>
      </c>
      <c r="AC33" s="1086"/>
    </row>
    <row r="34" spans="1:29">
      <c r="A34" s="94" t="s">
        <v>51</v>
      </c>
      <c r="B34" s="924">
        <v>5580</v>
      </c>
      <c r="C34" s="925">
        <v>6561</v>
      </c>
      <c r="D34" s="925">
        <v>6574</v>
      </c>
      <c r="E34" s="925">
        <v>6440</v>
      </c>
      <c r="F34" s="925">
        <v>5454</v>
      </c>
      <c r="G34" s="925">
        <v>5949</v>
      </c>
      <c r="H34" s="925">
        <v>5886</v>
      </c>
      <c r="I34" s="925">
        <v>4731</v>
      </c>
      <c r="J34" s="925">
        <v>3312</v>
      </c>
      <c r="K34" s="925">
        <v>2820</v>
      </c>
      <c r="L34" s="98">
        <v>2662</v>
      </c>
      <c r="M34" s="98">
        <v>2482</v>
      </c>
      <c r="N34" s="104">
        <v>2426</v>
      </c>
      <c r="O34" s="112">
        <v>1993</v>
      </c>
      <c r="P34" s="112">
        <v>1775</v>
      </c>
      <c r="Q34" s="112">
        <v>1816</v>
      </c>
      <c r="R34" s="112">
        <v>1746</v>
      </c>
      <c r="S34" s="112">
        <v>1505</v>
      </c>
      <c r="T34" s="112">
        <v>1600</v>
      </c>
      <c r="U34" s="112">
        <v>1590</v>
      </c>
      <c r="V34" s="112">
        <v>1396</v>
      </c>
      <c r="W34" s="112">
        <v>1441</v>
      </c>
      <c r="X34" s="112">
        <v>1342</v>
      </c>
      <c r="Y34" s="112">
        <v>1311</v>
      </c>
      <c r="Z34" s="113">
        <v>1334</v>
      </c>
      <c r="AA34" s="103">
        <v>1331</v>
      </c>
      <c r="AB34" s="1168">
        <v>1136</v>
      </c>
      <c r="AC34" s="1086"/>
    </row>
    <row r="35" spans="1:29">
      <c r="A35" s="94" t="s">
        <v>52</v>
      </c>
      <c r="B35" s="921">
        <v>34103</v>
      </c>
      <c r="C35" s="98">
        <v>40074</v>
      </c>
      <c r="D35" s="98">
        <v>49051</v>
      </c>
      <c r="E35" s="98">
        <v>56570</v>
      </c>
      <c r="F35" s="98">
        <v>67699</v>
      </c>
      <c r="G35" s="98">
        <v>81031</v>
      </c>
      <c r="H35" s="98">
        <v>80702</v>
      </c>
      <c r="I35" s="98">
        <v>64900</v>
      </c>
      <c r="J35" s="98">
        <v>42184</v>
      </c>
      <c r="K35" s="98">
        <v>25886</v>
      </c>
      <c r="L35" s="98">
        <v>21709</v>
      </c>
      <c r="M35" s="98">
        <v>19514</v>
      </c>
      <c r="N35" s="98">
        <f t="shared" ref="N35:Y35" si="4">SUM(N29:N34)</f>
        <v>18121</v>
      </c>
      <c r="O35" s="98">
        <f t="shared" si="4"/>
        <v>15255</v>
      </c>
      <c r="P35" s="98">
        <f t="shared" si="4"/>
        <v>13907</v>
      </c>
      <c r="Q35" s="98">
        <f t="shared" si="4"/>
        <v>13739</v>
      </c>
      <c r="R35" s="98">
        <f t="shared" si="4"/>
        <v>14251</v>
      </c>
      <c r="S35" s="98">
        <f t="shared" si="4"/>
        <v>13329</v>
      </c>
      <c r="T35" s="98">
        <f t="shared" si="4"/>
        <v>14064</v>
      </c>
      <c r="U35" s="98">
        <f t="shared" si="4"/>
        <v>14456</v>
      </c>
      <c r="V35" s="98">
        <f t="shared" si="4"/>
        <v>14015</v>
      </c>
      <c r="W35" s="98">
        <f t="shared" si="4"/>
        <v>13036</v>
      </c>
      <c r="X35" s="98">
        <f t="shared" si="4"/>
        <v>11869</v>
      </c>
      <c r="Y35" s="98">
        <f t="shared" si="4"/>
        <v>10353</v>
      </c>
      <c r="Z35" s="98">
        <f>SUM(Z29:Z34)</f>
        <v>9438</v>
      </c>
      <c r="AA35" s="98">
        <f>SUM(AA29:AA34)</f>
        <v>9255</v>
      </c>
      <c r="AB35" s="1168">
        <f>SUM(AB29:AB34)</f>
        <v>8520</v>
      </c>
      <c r="AC35" s="1086"/>
    </row>
    <row r="36" spans="1:29">
      <c r="A36" s="9"/>
      <c r="B36" s="9"/>
      <c r="C36" s="9"/>
      <c r="D36" s="9"/>
      <c r="E36" s="9"/>
      <c r="F36" s="9"/>
      <c r="G36" s="9"/>
      <c r="H36" s="9"/>
      <c r="I36" s="9"/>
      <c r="J36" s="9"/>
      <c r="K36" s="9"/>
      <c r="L36" s="9"/>
      <c r="M36" s="9"/>
      <c r="N36" s="9"/>
      <c r="O36" s="948"/>
      <c r="P36" s="948"/>
      <c r="Q36" s="948"/>
      <c r="R36" s="948"/>
      <c r="S36" s="948"/>
      <c r="T36" s="948"/>
      <c r="U36" s="948"/>
      <c r="V36" s="948"/>
      <c r="W36" s="948"/>
      <c r="X36" s="948"/>
      <c r="Y36" s="948"/>
      <c r="Z36" s="948"/>
      <c r="AA36" s="948"/>
      <c r="AB36" s="1086"/>
      <c r="AC36" s="1086"/>
    </row>
    <row r="37" spans="1:29">
      <c r="A37" s="869"/>
      <c r="B37" s="869"/>
      <c r="C37" s="870"/>
      <c r="D37" s="870"/>
      <c r="E37" s="870"/>
      <c r="F37" s="870"/>
      <c r="G37" s="870"/>
      <c r="H37" s="870"/>
      <c r="I37" s="870"/>
      <c r="J37" s="870"/>
      <c r="K37" s="870"/>
      <c r="L37" s="870"/>
      <c r="M37" s="870"/>
      <c r="N37" s="870"/>
      <c r="O37" s="870"/>
      <c r="P37" s="870"/>
      <c r="Q37" s="870"/>
      <c r="R37" s="870"/>
      <c r="S37" s="871"/>
      <c r="T37" s="871"/>
      <c r="U37" s="871"/>
      <c r="V37" s="871"/>
      <c r="W37" s="871"/>
      <c r="X37" s="871"/>
      <c r="Y37" s="871"/>
      <c r="Z37" s="871"/>
      <c r="AA37" s="871"/>
      <c r="AB37" s="1086"/>
      <c r="AC37" s="1086"/>
    </row>
    <row r="38" spans="1:29">
      <c r="A38" s="869"/>
      <c r="B38" s="869"/>
      <c r="C38" s="869"/>
      <c r="D38" s="869"/>
      <c r="E38" s="869"/>
      <c r="F38" s="869"/>
      <c r="G38" s="869"/>
      <c r="H38" s="869"/>
      <c r="I38" s="55"/>
      <c r="J38" s="55"/>
      <c r="K38" s="55"/>
      <c r="L38" s="55"/>
      <c r="M38" s="55"/>
      <c r="N38" s="55"/>
      <c r="O38" s="55"/>
      <c r="P38" s="55"/>
      <c r="Q38" s="55"/>
      <c r="R38" s="872"/>
      <c r="S38" s="55"/>
      <c r="T38" s="55"/>
      <c r="U38" s="55"/>
      <c r="V38" s="55"/>
      <c r="W38" s="55"/>
      <c r="X38" s="55"/>
      <c r="Y38" s="55"/>
      <c r="Z38" s="55"/>
      <c r="AA38" s="55"/>
      <c r="AB38" s="1086"/>
      <c r="AC38" s="1086"/>
    </row>
    <row r="39" spans="1:29">
      <c r="A39" s="869"/>
      <c r="B39" s="869"/>
      <c r="C39" s="869"/>
      <c r="D39" s="869"/>
      <c r="E39" s="869"/>
      <c r="F39" s="869"/>
      <c r="G39" s="869"/>
      <c r="H39" s="869"/>
      <c r="I39" s="55"/>
      <c r="J39" s="55"/>
      <c r="K39" s="55"/>
      <c r="L39" s="947"/>
      <c r="M39" s="947"/>
      <c r="N39" s="947"/>
      <c r="O39" s="947"/>
      <c r="P39" s="947"/>
      <c r="Q39" s="947"/>
      <c r="R39" s="947"/>
      <c r="S39" s="947"/>
      <c r="T39" s="947"/>
      <c r="U39" s="947"/>
      <c r="V39" s="947"/>
      <c r="W39" s="947"/>
      <c r="X39" s="947"/>
      <c r="Y39" s="947"/>
      <c r="Z39" s="947"/>
      <c r="AA39" s="947"/>
    </row>
    <row r="40" spans="1:29">
      <c r="A40" s="869"/>
      <c r="B40" s="869"/>
      <c r="C40" s="869"/>
      <c r="D40" s="869"/>
      <c r="E40" s="869"/>
      <c r="F40" s="869"/>
      <c r="G40" s="869"/>
      <c r="H40" s="869"/>
      <c r="I40" s="55"/>
      <c r="J40" s="55"/>
      <c r="K40" s="55"/>
      <c r="L40" s="55"/>
      <c r="M40" s="55"/>
      <c r="N40" s="55"/>
      <c r="O40" s="55"/>
      <c r="P40" s="872"/>
      <c r="Q40" s="872"/>
      <c r="R40" s="872"/>
      <c r="S40" s="872"/>
      <c r="T40" s="55"/>
      <c r="U40" s="55"/>
      <c r="V40" s="55"/>
      <c r="W40" s="55"/>
      <c r="X40" s="55"/>
      <c r="Y40" s="55"/>
      <c r="Z40" s="55"/>
      <c r="AA40" s="55"/>
    </row>
    <row r="41" spans="1:29">
      <c r="A41" s="869"/>
      <c r="B41" s="869"/>
      <c r="C41" s="869"/>
      <c r="D41" s="869"/>
      <c r="E41" s="869"/>
      <c r="F41" s="869"/>
      <c r="G41" s="869"/>
      <c r="H41" s="869"/>
      <c r="I41" s="55"/>
      <c r="J41" s="55"/>
      <c r="K41" s="55"/>
      <c r="L41" s="55"/>
      <c r="M41" s="55"/>
      <c r="N41" s="55"/>
      <c r="O41" s="55"/>
      <c r="P41" s="55"/>
      <c r="Q41" s="55"/>
      <c r="R41" s="55"/>
      <c r="S41" s="55"/>
      <c r="T41" s="55"/>
      <c r="U41" s="55"/>
      <c r="V41" s="55"/>
      <c r="W41" s="55"/>
      <c r="X41" s="55"/>
      <c r="Y41" s="55"/>
      <c r="Z41" s="55"/>
      <c r="AA41" s="55"/>
    </row>
    <row r="42" spans="1:29">
      <c r="A42" s="869"/>
      <c r="B42" s="869"/>
      <c r="C42" s="869"/>
      <c r="D42" s="869"/>
      <c r="E42" s="869"/>
      <c r="F42" s="869"/>
      <c r="G42" s="869"/>
      <c r="H42" s="869"/>
      <c r="I42" s="55"/>
      <c r="J42" s="55"/>
      <c r="K42" s="55"/>
      <c r="L42" s="55"/>
      <c r="M42" s="55"/>
      <c r="N42" s="55"/>
      <c r="O42" s="55"/>
      <c r="P42" s="872"/>
      <c r="Q42" s="872"/>
      <c r="R42" s="872"/>
      <c r="S42" s="872"/>
      <c r="T42" s="55"/>
      <c r="U42" s="55"/>
      <c r="V42" s="55"/>
      <c r="W42" s="55"/>
      <c r="X42" s="55"/>
      <c r="Y42" s="55"/>
      <c r="Z42" s="55"/>
      <c r="AA42" s="55"/>
    </row>
    <row r="43" spans="1:29">
      <c r="A43" s="869"/>
      <c r="B43" s="869"/>
      <c r="C43" s="869"/>
      <c r="D43" s="869"/>
      <c r="E43" s="869"/>
      <c r="F43" s="869"/>
      <c r="G43" s="869"/>
      <c r="H43" s="869"/>
      <c r="I43" s="55"/>
      <c r="J43" s="55"/>
      <c r="K43" s="55"/>
      <c r="L43" s="55"/>
      <c r="M43" s="55"/>
      <c r="N43" s="55"/>
      <c r="O43" s="55"/>
      <c r="P43" s="872"/>
      <c r="Q43" s="872"/>
      <c r="R43" s="872"/>
      <c r="S43" s="872"/>
      <c r="T43" s="55"/>
      <c r="U43" s="55"/>
      <c r="V43" s="55"/>
      <c r="W43" s="55"/>
      <c r="X43" s="55"/>
      <c r="Y43" s="55"/>
      <c r="Z43" s="55"/>
      <c r="AA43" s="55"/>
    </row>
    <row r="44" spans="1:29">
      <c r="A44" s="869"/>
      <c r="B44" s="869"/>
      <c r="C44" s="869"/>
      <c r="D44" s="869"/>
      <c r="E44" s="869"/>
      <c r="F44" s="869"/>
      <c r="G44" s="869"/>
      <c r="H44" s="869"/>
      <c r="I44" s="55"/>
      <c r="J44" s="55"/>
      <c r="K44" s="55"/>
      <c r="L44" s="55"/>
      <c r="M44" s="55"/>
      <c r="N44" s="55"/>
      <c r="O44" s="55"/>
      <c r="P44" s="55"/>
      <c r="Q44" s="55"/>
      <c r="R44" s="55"/>
      <c r="S44" s="55"/>
      <c r="T44" s="55"/>
      <c r="U44" s="55"/>
      <c r="V44" s="55"/>
      <c r="W44" s="55"/>
      <c r="X44" s="55"/>
      <c r="Y44" s="55"/>
      <c r="Z44" s="55"/>
      <c r="AA44" s="55"/>
    </row>
    <row r="45" spans="1:29">
      <c r="A45" s="869"/>
      <c r="B45" s="869"/>
      <c r="C45" s="869"/>
      <c r="D45" s="869"/>
      <c r="E45" s="869"/>
      <c r="F45" s="869"/>
      <c r="G45" s="869"/>
      <c r="H45" s="869"/>
      <c r="I45" s="55"/>
      <c r="J45" s="55"/>
      <c r="K45" s="55"/>
      <c r="L45" s="55"/>
      <c r="M45" s="55"/>
      <c r="N45" s="55"/>
      <c r="O45" s="55"/>
      <c r="P45" s="872"/>
      <c r="Q45" s="872"/>
      <c r="R45" s="872"/>
      <c r="S45" s="872"/>
      <c r="T45" s="55"/>
      <c r="U45" s="55"/>
      <c r="V45" s="55"/>
      <c r="W45" s="55"/>
      <c r="X45" s="55"/>
      <c r="Y45" s="55"/>
      <c r="Z45" s="55"/>
      <c r="AA45" s="55"/>
    </row>
    <row r="46" spans="1:29">
      <c r="A46" s="869"/>
      <c r="B46" s="869"/>
      <c r="C46" s="869"/>
      <c r="D46" s="869"/>
      <c r="E46" s="869"/>
      <c r="F46" s="869"/>
      <c r="G46" s="869"/>
      <c r="H46" s="869"/>
      <c r="I46" s="55"/>
      <c r="J46" s="55"/>
      <c r="K46" s="55"/>
      <c r="L46" s="55"/>
      <c r="M46" s="55"/>
      <c r="N46" s="55"/>
      <c r="O46" s="55"/>
      <c r="P46" s="55"/>
      <c r="Q46" s="55"/>
      <c r="R46" s="55"/>
      <c r="S46" s="55"/>
      <c r="T46" s="55"/>
      <c r="U46" s="55"/>
      <c r="V46" s="55"/>
      <c r="W46" s="55"/>
      <c r="X46" s="55"/>
      <c r="Y46" s="55"/>
      <c r="Z46" s="55"/>
      <c r="AA46" s="55"/>
    </row>
    <row r="47" spans="1:29">
      <c r="A47" s="869"/>
      <c r="B47" s="869"/>
      <c r="C47" s="869"/>
      <c r="D47" s="869"/>
      <c r="E47" s="869"/>
      <c r="F47" s="869"/>
      <c r="G47" s="869"/>
      <c r="H47" s="869"/>
      <c r="I47" s="55"/>
      <c r="J47" s="55"/>
      <c r="K47" s="55"/>
      <c r="L47" s="55"/>
      <c r="M47" s="55"/>
      <c r="N47" s="55"/>
      <c r="O47" s="55"/>
      <c r="P47" s="55"/>
      <c r="Q47" s="55"/>
      <c r="R47" s="872"/>
      <c r="S47" s="872"/>
      <c r="T47" s="55"/>
      <c r="U47" s="55"/>
      <c r="V47" s="55"/>
      <c r="W47" s="55"/>
      <c r="X47" s="55"/>
      <c r="Y47" s="55"/>
      <c r="Z47" s="55"/>
      <c r="AA47" s="55"/>
    </row>
    <row r="48" spans="1:29">
      <c r="A48" s="869"/>
      <c r="B48" s="869"/>
      <c r="C48" s="869"/>
      <c r="D48" s="869"/>
      <c r="E48" s="869"/>
      <c r="F48" s="869"/>
      <c r="G48" s="869"/>
      <c r="H48" s="869"/>
      <c r="I48" s="55"/>
      <c r="J48" s="55"/>
      <c r="K48" s="55"/>
      <c r="L48" s="55"/>
      <c r="M48" s="55"/>
      <c r="N48" s="55"/>
      <c r="O48" s="55"/>
      <c r="P48" s="872"/>
      <c r="Q48" s="872"/>
      <c r="R48" s="872"/>
      <c r="S48" s="872"/>
      <c r="T48" s="55"/>
      <c r="U48" s="55"/>
      <c r="V48" s="55"/>
      <c r="W48" s="55"/>
      <c r="X48" s="55"/>
      <c r="Y48" s="55"/>
      <c r="Z48" s="55"/>
      <c r="AA48" s="55"/>
    </row>
    <row r="49" spans="1:27">
      <c r="A49" s="869"/>
      <c r="B49" s="869"/>
      <c r="C49" s="869"/>
      <c r="D49" s="869"/>
      <c r="E49" s="869"/>
      <c r="F49" s="869"/>
      <c r="G49" s="869"/>
      <c r="H49" s="869"/>
      <c r="I49" s="55"/>
      <c r="J49" s="55"/>
      <c r="K49" s="55"/>
      <c r="L49" s="55"/>
      <c r="M49" s="55"/>
      <c r="N49" s="55"/>
      <c r="O49" s="55"/>
      <c r="P49" s="872"/>
      <c r="Q49" s="872"/>
      <c r="R49" s="872"/>
      <c r="S49" s="872"/>
      <c r="T49" s="55"/>
      <c r="U49" s="55"/>
      <c r="V49" s="55"/>
      <c r="W49" s="55"/>
      <c r="X49" s="55"/>
      <c r="Y49" s="55"/>
      <c r="Z49" s="55"/>
      <c r="AA49" s="55"/>
    </row>
    <row r="50" spans="1:27">
      <c r="A50" s="869"/>
      <c r="B50" s="869"/>
      <c r="C50" s="869"/>
      <c r="D50" s="869"/>
      <c r="E50" s="869"/>
      <c r="F50" s="869"/>
      <c r="G50" s="869"/>
      <c r="H50" s="869"/>
      <c r="I50" s="55"/>
      <c r="J50" s="55"/>
      <c r="K50" s="55"/>
      <c r="L50" s="55"/>
      <c r="M50" s="55"/>
      <c r="N50" s="55"/>
      <c r="O50" s="55"/>
      <c r="P50" s="872"/>
      <c r="Q50" s="872"/>
      <c r="R50" s="872"/>
      <c r="S50" s="872"/>
      <c r="T50" s="55"/>
      <c r="U50" s="55"/>
      <c r="V50" s="55"/>
      <c r="W50" s="55"/>
      <c r="X50" s="55"/>
      <c r="Y50" s="55"/>
      <c r="Z50" s="55"/>
      <c r="AA50" s="55"/>
    </row>
    <row r="51" spans="1:27">
      <c r="A51" s="869"/>
      <c r="B51" s="869"/>
      <c r="C51" s="869"/>
      <c r="D51" s="869"/>
      <c r="E51" s="869"/>
      <c r="F51" s="869"/>
      <c r="G51" s="869"/>
      <c r="H51" s="869"/>
      <c r="I51" s="55"/>
      <c r="J51" s="55"/>
      <c r="K51" s="55"/>
      <c r="L51" s="55"/>
      <c r="M51" s="55"/>
      <c r="N51" s="55"/>
      <c r="O51" s="55"/>
      <c r="P51" s="55"/>
      <c r="Q51" s="872"/>
      <c r="R51" s="872"/>
      <c r="S51" s="872"/>
      <c r="T51" s="55"/>
      <c r="U51" s="55"/>
      <c r="V51" s="55"/>
      <c r="W51" s="55"/>
      <c r="X51" s="55"/>
      <c r="Y51" s="55"/>
      <c r="Z51" s="55"/>
      <c r="AA51" s="55"/>
    </row>
    <row r="52" spans="1:27">
      <c r="A52" s="869"/>
      <c r="B52" s="869"/>
      <c r="C52" s="869"/>
      <c r="D52" s="869"/>
      <c r="E52" s="869"/>
      <c r="F52" s="869"/>
      <c r="G52" s="869"/>
      <c r="H52" s="869"/>
      <c r="I52" s="55"/>
      <c r="J52" s="55"/>
      <c r="K52" s="55"/>
      <c r="L52" s="55"/>
      <c r="M52" s="55"/>
      <c r="N52" s="55"/>
      <c r="O52" s="55"/>
      <c r="P52" s="872"/>
      <c r="Q52" s="872"/>
      <c r="R52" s="872"/>
      <c r="S52" s="872"/>
      <c r="T52" s="55"/>
      <c r="U52" s="55"/>
      <c r="V52" s="55"/>
      <c r="W52" s="55"/>
      <c r="X52" s="55"/>
      <c r="Y52" s="55"/>
      <c r="Z52" s="55"/>
      <c r="AA52" s="55"/>
    </row>
    <row r="53" spans="1:27">
      <c r="A53" s="830"/>
      <c r="B53" s="830"/>
      <c r="C53" s="830"/>
      <c r="D53" s="830"/>
      <c r="E53" s="830"/>
      <c r="F53" s="830"/>
      <c r="G53" s="830"/>
      <c r="H53" s="830"/>
      <c r="I53" s="830"/>
      <c r="J53" s="830"/>
      <c r="K53" s="830"/>
      <c r="L53" s="830"/>
      <c r="M53" s="830"/>
      <c r="N53" s="830"/>
      <c r="O53" s="830"/>
      <c r="P53" s="830"/>
      <c r="Q53" s="873"/>
      <c r="R53" s="873"/>
      <c r="S53" s="830"/>
      <c r="T53" s="830"/>
      <c r="U53" s="830"/>
      <c r="V53" s="830"/>
      <c r="W53" s="830"/>
      <c r="X53" s="830"/>
      <c r="Y53" s="830"/>
      <c r="Z53" s="830"/>
      <c r="AA53" s="830"/>
    </row>
    <row r="54" spans="1:27">
      <c r="A54" s="830"/>
      <c r="B54" s="830"/>
      <c r="C54" s="830"/>
      <c r="D54" s="830"/>
      <c r="E54" s="830"/>
      <c r="F54" s="830"/>
      <c r="G54" s="830"/>
      <c r="H54" s="830"/>
      <c r="I54" s="830"/>
      <c r="J54" s="830"/>
      <c r="K54" s="830"/>
      <c r="L54" s="830"/>
      <c r="M54" s="830"/>
      <c r="N54" s="830"/>
      <c r="O54" s="830"/>
      <c r="P54" s="830"/>
      <c r="Q54" s="873"/>
      <c r="R54" s="873"/>
      <c r="S54" s="830"/>
      <c r="T54" s="830"/>
      <c r="U54" s="830"/>
      <c r="V54" s="830"/>
      <c r="W54" s="830"/>
      <c r="X54" s="830"/>
      <c r="Y54" s="830"/>
      <c r="Z54" s="830"/>
      <c r="AA54" s="830"/>
    </row>
    <row r="55" spans="1:27">
      <c r="A55" s="830"/>
      <c r="B55" s="92"/>
      <c r="C55" s="875"/>
      <c r="D55" s="830"/>
      <c r="E55" s="830"/>
      <c r="F55" s="830"/>
      <c r="G55" s="830"/>
      <c r="H55" s="830"/>
      <c r="I55" s="830"/>
      <c r="J55" s="830"/>
      <c r="K55" s="876"/>
      <c r="L55" s="876"/>
      <c r="M55" s="876"/>
      <c r="N55" s="876"/>
      <c r="O55" s="876"/>
      <c r="P55" s="876"/>
      <c r="Q55" s="876"/>
      <c r="R55" s="876"/>
      <c r="S55" s="830"/>
      <c r="T55" s="830"/>
      <c r="U55" s="830"/>
      <c r="V55" s="830"/>
      <c r="W55" s="830"/>
      <c r="X55" s="830"/>
      <c r="Y55" s="830"/>
      <c r="Z55" s="830"/>
      <c r="AA55" s="830"/>
    </row>
    <row r="56" spans="1:27">
      <c r="A56" s="830"/>
      <c r="B56" s="93"/>
      <c r="C56" s="875"/>
      <c r="D56" s="830"/>
      <c r="E56" s="830"/>
      <c r="F56" s="830"/>
      <c r="G56" s="830"/>
      <c r="H56" s="830"/>
      <c r="I56" s="830"/>
      <c r="J56" s="830"/>
      <c r="K56" s="830"/>
      <c r="L56" s="830"/>
      <c r="M56" s="877"/>
      <c r="N56" s="830"/>
      <c r="O56" s="830"/>
      <c r="P56" s="830"/>
      <c r="Q56" s="873"/>
      <c r="R56" s="873"/>
      <c r="S56" s="830"/>
      <c r="T56" s="830"/>
      <c r="U56" s="830"/>
      <c r="V56" s="830"/>
      <c r="W56" s="830"/>
      <c r="X56" s="830"/>
      <c r="Y56" s="830"/>
      <c r="Z56" s="830"/>
      <c r="AA56" s="830"/>
    </row>
    <row r="57" spans="1:27">
      <c r="A57" s="830"/>
      <c r="B57" s="93"/>
      <c r="C57" s="875"/>
      <c r="D57" s="830"/>
      <c r="E57" s="830"/>
      <c r="F57" s="830"/>
      <c r="G57" s="830"/>
      <c r="H57" s="830"/>
      <c r="I57" s="830"/>
      <c r="J57" s="830"/>
      <c r="K57" s="830"/>
      <c r="L57" s="830"/>
      <c r="M57" s="877"/>
      <c r="N57" s="870"/>
      <c r="O57" s="870"/>
      <c r="P57" s="870"/>
      <c r="Q57" s="870"/>
      <c r="R57" s="870"/>
      <c r="S57" s="870"/>
      <c r="T57" s="871"/>
      <c r="U57" s="871"/>
      <c r="V57" s="871"/>
      <c r="W57" s="871"/>
      <c r="X57" s="871"/>
      <c r="Y57" s="871"/>
      <c r="Z57" s="871"/>
      <c r="AA57" s="871"/>
    </row>
    <row r="58" spans="1:27">
      <c r="A58" s="830"/>
      <c r="B58" s="93"/>
      <c r="C58" s="875"/>
      <c r="D58" s="830"/>
      <c r="E58" s="830"/>
      <c r="F58" s="830"/>
      <c r="G58" s="830"/>
      <c r="H58" s="830"/>
      <c r="I58" s="830"/>
      <c r="J58" s="830"/>
      <c r="K58" s="830"/>
      <c r="L58" s="830"/>
      <c r="M58" s="877"/>
      <c r="N58" s="830"/>
      <c r="O58" s="830"/>
      <c r="P58" s="830"/>
      <c r="Q58" s="830"/>
      <c r="R58" s="830"/>
      <c r="S58" s="830"/>
      <c r="T58" s="830"/>
      <c r="U58" s="830"/>
      <c r="V58" s="830"/>
      <c r="W58" s="830"/>
      <c r="X58" s="830"/>
      <c r="Y58" s="830"/>
      <c r="Z58" s="830"/>
      <c r="AA58" s="830"/>
    </row>
    <row r="59" spans="1:27">
      <c r="A59" s="830"/>
      <c r="B59" s="830"/>
      <c r="C59" s="830"/>
      <c r="D59" s="830"/>
      <c r="E59" s="830"/>
      <c r="F59" s="830"/>
      <c r="G59" s="830"/>
      <c r="H59" s="830"/>
      <c r="I59" s="830"/>
      <c r="J59" s="830"/>
      <c r="K59" s="830"/>
      <c r="L59" s="830"/>
      <c r="M59" s="877"/>
      <c r="N59" s="830"/>
      <c r="O59" s="830"/>
      <c r="P59" s="830"/>
      <c r="Q59" s="830"/>
      <c r="R59" s="830"/>
      <c r="S59" s="830"/>
      <c r="T59" s="830"/>
      <c r="U59" s="830"/>
      <c r="V59" s="830"/>
      <c r="W59" s="830"/>
      <c r="X59" s="830"/>
      <c r="Y59" s="830"/>
      <c r="Z59" s="830"/>
      <c r="AA59" s="830"/>
    </row>
    <row r="60" spans="1:27">
      <c r="A60" s="830"/>
      <c r="B60" s="830"/>
      <c r="C60" s="830"/>
      <c r="D60" s="830"/>
      <c r="E60" s="830"/>
      <c r="F60" s="830"/>
      <c r="G60" s="830"/>
      <c r="H60" s="830"/>
      <c r="I60" s="830"/>
      <c r="J60" s="830"/>
      <c r="K60" s="830"/>
      <c r="L60" s="830"/>
      <c r="M60" s="877"/>
      <c r="N60" s="830"/>
      <c r="O60" s="830"/>
      <c r="P60" s="830"/>
      <c r="Q60" s="830"/>
      <c r="R60" s="830"/>
      <c r="S60" s="830"/>
      <c r="T60" s="830"/>
      <c r="U60" s="830"/>
      <c r="V60" s="830"/>
      <c r="W60" s="830"/>
      <c r="X60" s="830"/>
      <c r="Y60" s="830"/>
      <c r="Z60" s="830"/>
      <c r="AA60" s="830"/>
    </row>
    <row r="61" spans="1:27">
      <c r="A61" s="830"/>
      <c r="B61" s="830"/>
      <c r="C61" s="830"/>
      <c r="D61" s="830"/>
      <c r="E61" s="830"/>
      <c r="F61" s="830"/>
      <c r="G61" s="830"/>
      <c r="H61" s="830"/>
      <c r="I61" s="830"/>
      <c r="J61" s="830"/>
      <c r="K61" s="830"/>
      <c r="L61" s="830"/>
      <c r="M61" s="877"/>
      <c r="N61" s="830"/>
      <c r="O61" s="830"/>
      <c r="P61" s="830"/>
      <c r="Q61" s="830"/>
      <c r="R61" s="830"/>
      <c r="S61" s="878"/>
      <c r="T61" s="878"/>
      <c r="U61" s="878"/>
      <c r="V61" s="879"/>
      <c r="W61" s="879"/>
      <c r="X61" s="879"/>
      <c r="Y61" s="879"/>
      <c r="Z61" s="879"/>
      <c r="AA61" s="879"/>
    </row>
    <row r="62" spans="1:27">
      <c r="A62" s="830"/>
      <c r="B62" s="830"/>
      <c r="C62" s="830"/>
      <c r="D62" s="830"/>
      <c r="E62" s="830"/>
      <c r="F62" s="830"/>
      <c r="G62" s="830"/>
      <c r="H62" s="830"/>
      <c r="I62" s="830"/>
      <c r="J62" s="830"/>
      <c r="K62" s="830"/>
      <c r="L62" s="830"/>
      <c r="M62" s="877"/>
      <c r="N62" s="830"/>
      <c r="O62" s="830"/>
      <c r="P62" s="830"/>
      <c r="Q62" s="830"/>
      <c r="R62" s="830"/>
      <c r="S62" s="830"/>
      <c r="T62" s="830"/>
      <c r="U62" s="830"/>
      <c r="V62" s="830"/>
      <c r="W62" s="830"/>
      <c r="X62" s="830"/>
      <c r="Y62" s="830"/>
      <c r="Z62" s="830"/>
      <c r="AA62" s="830"/>
    </row>
    <row r="63" spans="1:27">
      <c r="A63" s="830"/>
      <c r="B63" s="830"/>
      <c r="C63" s="830"/>
      <c r="D63" s="830"/>
      <c r="E63" s="830"/>
      <c r="F63" s="830"/>
      <c r="G63" s="830"/>
      <c r="H63" s="830"/>
      <c r="I63" s="830"/>
      <c r="J63" s="830"/>
      <c r="K63" s="830"/>
      <c r="L63" s="830"/>
      <c r="M63" s="877"/>
      <c r="N63" s="830"/>
      <c r="O63" s="830"/>
      <c r="P63" s="830"/>
      <c r="Q63" s="830"/>
      <c r="R63" s="830"/>
      <c r="S63" s="830"/>
      <c r="T63" s="830"/>
      <c r="U63" s="830"/>
      <c r="V63" s="830"/>
      <c r="W63" s="830"/>
      <c r="X63" s="830"/>
      <c r="Y63" s="830"/>
      <c r="Z63" s="830"/>
      <c r="AA63" s="830"/>
    </row>
    <row r="64" spans="1:27">
      <c r="A64" s="830"/>
      <c r="B64" s="830"/>
      <c r="C64" s="830"/>
      <c r="D64" s="830"/>
      <c r="E64" s="830"/>
      <c r="F64" s="830"/>
      <c r="G64" s="830"/>
      <c r="H64" s="830"/>
      <c r="I64" s="830"/>
      <c r="J64" s="830"/>
      <c r="K64" s="830"/>
      <c r="L64" s="830"/>
      <c r="M64" s="830"/>
      <c r="N64" s="874"/>
      <c r="O64" s="830"/>
      <c r="P64" s="830"/>
      <c r="Q64" s="830"/>
      <c r="R64" s="830"/>
      <c r="S64" s="830"/>
      <c r="T64" s="830"/>
      <c r="U64" s="830"/>
      <c r="V64" s="830"/>
      <c r="W64" s="830"/>
      <c r="X64" s="830"/>
      <c r="Y64" s="830"/>
      <c r="Z64" s="830"/>
      <c r="AA64" s="830"/>
    </row>
    <row r="65" spans="1:27">
      <c r="A65" s="830"/>
      <c r="B65" s="830"/>
      <c r="C65" s="830"/>
      <c r="D65" s="830"/>
      <c r="E65" s="830"/>
      <c r="F65" s="830"/>
      <c r="G65" s="830"/>
      <c r="H65" s="830"/>
      <c r="I65" s="830"/>
      <c r="J65" s="830"/>
      <c r="K65" s="830"/>
      <c r="L65" s="830"/>
      <c r="M65" s="830"/>
      <c r="N65" s="830"/>
      <c r="O65" s="830"/>
      <c r="P65" s="830"/>
      <c r="Q65" s="830"/>
      <c r="R65" s="830"/>
      <c r="S65" s="880"/>
      <c r="T65" s="880"/>
      <c r="U65" s="880"/>
      <c r="V65" s="881"/>
      <c r="W65" s="881"/>
      <c r="X65" s="881"/>
      <c r="Y65" s="881"/>
      <c r="Z65" s="881"/>
      <c r="AA65" s="881"/>
    </row>
    <row r="66" spans="1:27">
      <c r="A66" s="9"/>
      <c r="B66" s="9"/>
      <c r="C66" s="9"/>
      <c r="D66" s="9"/>
      <c r="E66" s="9"/>
      <c r="F66" s="9"/>
      <c r="G66" s="9"/>
      <c r="H66" s="9"/>
      <c r="I66" s="9"/>
      <c r="J66" s="9"/>
      <c r="K66" s="9"/>
      <c r="L66" s="9"/>
      <c r="M66" s="9"/>
      <c r="N66" s="9"/>
      <c r="O66" s="9"/>
      <c r="P66" s="9"/>
      <c r="Q66" s="39"/>
      <c r="R66" s="39"/>
      <c r="S66" s="9"/>
      <c r="T66" s="9"/>
      <c r="U66" s="9"/>
      <c r="V66" s="9"/>
      <c r="W66" s="9"/>
      <c r="X66" s="9"/>
      <c r="Y66" s="9"/>
      <c r="Z66" s="9"/>
      <c r="AA66" s="9"/>
    </row>
    <row r="67" spans="1:27">
      <c r="A67" s="9"/>
      <c r="B67" s="9"/>
      <c r="C67" s="9"/>
      <c r="D67" s="9"/>
      <c r="E67" s="9"/>
      <c r="F67" s="9"/>
      <c r="G67" s="9"/>
      <c r="H67" s="9"/>
      <c r="I67" s="9"/>
      <c r="J67" s="9"/>
      <c r="K67" s="9"/>
      <c r="L67" s="9"/>
    </row>
    <row r="68" spans="1:27">
      <c r="A68" s="9"/>
      <c r="B68" s="9"/>
      <c r="C68" s="9"/>
      <c r="D68" s="9"/>
      <c r="E68" s="9"/>
      <c r="F68" s="9"/>
      <c r="G68" s="9"/>
      <c r="H68" s="9"/>
      <c r="I68" s="9"/>
      <c r="J68" s="9"/>
      <c r="K68" s="9"/>
      <c r="L68" s="9"/>
    </row>
    <row r="69" spans="1:27">
      <c r="A69" s="9"/>
      <c r="B69" s="9"/>
      <c r="C69" s="9"/>
      <c r="D69" s="9"/>
      <c r="E69" s="9"/>
      <c r="F69" s="9"/>
      <c r="G69" s="9"/>
      <c r="H69" s="9"/>
      <c r="I69" s="9"/>
      <c r="J69" s="9"/>
      <c r="K69" s="9"/>
      <c r="L69" s="9"/>
    </row>
    <row r="70" spans="1:27">
      <c r="A70" s="9"/>
      <c r="B70" s="9"/>
      <c r="C70" s="9"/>
      <c r="D70" s="9"/>
      <c r="E70" s="9"/>
      <c r="F70" s="9"/>
      <c r="G70" s="9"/>
      <c r="H70" s="9"/>
      <c r="I70" s="9"/>
      <c r="J70" s="9"/>
      <c r="K70" s="9"/>
      <c r="L70" s="9"/>
    </row>
    <row r="71" spans="1:27">
      <c r="A71" s="9"/>
      <c r="B71" s="9"/>
      <c r="C71" s="9"/>
      <c r="D71" s="9"/>
      <c r="E71" s="9"/>
      <c r="F71" s="9"/>
      <c r="G71" s="9"/>
      <c r="H71" s="9"/>
      <c r="I71" s="9"/>
      <c r="J71" s="9"/>
      <c r="K71" s="9"/>
      <c r="L71" s="9"/>
    </row>
    <row r="72" spans="1:27">
      <c r="A72" s="9"/>
      <c r="B72" s="9"/>
      <c r="C72" s="9"/>
      <c r="D72" s="9"/>
      <c r="E72" s="9"/>
      <c r="F72" s="9"/>
      <c r="G72" s="9"/>
      <c r="H72" s="9"/>
      <c r="I72" s="9"/>
      <c r="J72" s="9"/>
      <c r="K72" s="9"/>
      <c r="L72" s="9"/>
    </row>
    <row r="73" spans="1:27">
      <c r="A73" s="9"/>
      <c r="B73" s="9"/>
      <c r="C73" s="9"/>
      <c r="D73" s="9"/>
      <c r="E73" s="9"/>
      <c r="F73" s="9"/>
      <c r="G73" s="9"/>
      <c r="H73" s="9"/>
      <c r="I73" s="9"/>
      <c r="J73" s="9"/>
      <c r="K73" s="9"/>
      <c r="L73" s="9"/>
    </row>
    <row r="74" spans="1:27">
      <c r="A74" s="9"/>
      <c r="B74" s="9"/>
      <c r="C74" s="9"/>
      <c r="D74" s="9"/>
      <c r="E74" s="9"/>
      <c r="F74" s="9"/>
      <c r="G74" s="9"/>
      <c r="H74" s="9"/>
      <c r="I74" s="9"/>
      <c r="J74" s="9"/>
      <c r="K74" s="9"/>
      <c r="L74" s="9"/>
    </row>
    <row r="75" spans="1:27">
      <c r="A75" s="9"/>
      <c r="B75" s="9"/>
      <c r="C75" s="9"/>
      <c r="D75" s="9"/>
      <c r="E75" s="9"/>
      <c r="F75" s="9"/>
      <c r="G75" s="9"/>
      <c r="H75" s="9"/>
      <c r="I75" s="9"/>
      <c r="J75" s="9"/>
      <c r="K75" s="9"/>
      <c r="L75" s="9"/>
      <c r="M75" s="9"/>
      <c r="N75" s="9"/>
      <c r="O75" s="47"/>
      <c r="P75" s="47"/>
      <c r="Q75" s="47"/>
      <c r="R75" s="47"/>
      <c r="S75" s="47"/>
      <c r="T75" s="47"/>
      <c r="U75" s="47"/>
      <c r="V75" s="47"/>
      <c r="W75" s="47"/>
      <c r="X75" s="47"/>
      <c r="Y75" s="9"/>
      <c r="Z75" s="9"/>
    </row>
    <row r="76" spans="1:27">
      <c r="A76" s="9"/>
      <c r="B76" s="9"/>
      <c r="C76" s="9"/>
      <c r="D76" s="9"/>
      <c r="E76" s="9"/>
      <c r="F76" s="9"/>
      <c r="G76" s="9"/>
      <c r="H76" s="9"/>
      <c r="I76" s="9"/>
      <c r="J76" s="9"/>
      <c r="K76" s="9"/>
      <c r="L76" s="9"/>
      <c r="M76" s="9"/>
      <c r="N76" s="9"/>
      <c r="O76" s="47"/>
      <c r="P76" s="47"/>
      <c r="Q76" s="47"/>
      <c r="R76" s="47"/>
      <c r="S76" s="47"/>
      <c r="T76" s="47"/>
      <c r="U76" s="47"/>
      <c r="V76" s="47"/>
      <c r="W76" s="47"/>
      <c r="X76" s="47"/>
      <c r="Y76" s="9"/>
      <c r="Z76" s="9"/>
    </row>
    <row r="77" spans="1:27">
      <c r="A77" s="9"/>
      <c r="B77" s="9"/>
      <c r="C77" s="9"/>
      <c r="D77" s="9"/>
      <c r="E77" s="9"/>
      <c r="F77" s="9"/>
      <c r="G77" s="9"/>
      <c r="H77" s="9"/>
      <c r="I77" s="9"/>
      <c r="J77" s="9"/>
      <c r="K77" s="9"/>
      <c r="L77" s="9"/>
      <c r="M77" s="9"/>
      <c r="N77" s="9"/>
      <c r="O77" s="47"/>
      <c r="P77" s="47"/>
      <c r="Q77" s="47"/>
      <c r="R77" s="47"/>
      <c r="S77" s="47"/>
      <c r="T77" s="47"/>
      <c r="U77" s="47"/>
      <c r="V77" s="47"/>
      <c r="W77" s="47"/>
      <c r="X77" s="47"/>
      <c r="Y77" s="9"/>
      <c r="Z77" s="9"/>
    </row>
    <row r="78" spans="1:27">
      <c r="A78" s="9"/>
      <c r="B78" s="9"/>
      <c r="C78" s="9"/>
      <c r="D78" s="9"/>
      <c r="E78" s="9"/>
      <c r="F78" s="9"/>
      <c r="G78" s="9"/>
      <c r="H78" s="9"/>
      <c r="I78" s="9"/>
      <c r="J78" s="9"/>
      <c r="K78" s="9"/>
      <c r="L78" s="9"/>
      <c r="M78" s="9"/>
      <c r="N78" s="9"/>
      <c r="O78" s="47"/>
      <c r="P78" s="47"/>
      <c r="Q78" s="47"/>
      <c r="R78" s="47"/>
      <c r="S78" s="47"/>
      <c r="T78" s="47"/>
      <c r="U78" s="47"/>
      <c r="V78" s="47"/>
      <c r="W78" s="47"/>
      <c r="X78" s="47"/>
      <c r="Y78" s="9"/>
      <c r="Z78" s="9"/>
    </row>
    <row r="79" spans="1:27">
      <c r="A79" s="9"/>
      <c r="B79" s="9"/>
      <c r="C79" s="9"/>
      <c r="D79" s="9"/>
      <c r="E79" s="9"/>
      <c r="F79" s="9"/>
      <c r="G79" s="9"/>
      <c r="H79" s="9"/>
      <c r="I79" s="9"/>
      <c r="J79" s="9"/>
      <c r="K79" s="9"/>
      <c r="L79" s="9"/>
      <c r="M79" s="9"/>
      <c r="N79" s="9"/>
      <c r="O79" s="47"/>
      <c r="P79" s="47"/>
      <c r="Q79" s="47"/>
      <c r="R79" s="47"/>
      <c r="S79" s="47"/>
      <c r="T79" s="47"/>
      <c r="U79" s="47"/>
      <c r="V79" s="47"/>
      <c r="W79" s="47"/>
      <c r="X79" s="47"/>
      <c r="Y79" s="9"/>
      <c r="Z79" s="9"/>
    </row>
    <row r="80" spans="1:27">
      <c r="A80" s="9"/>
      <c r="B80" s="9"/>
      <c r="C80" s="9"/>
      <c r="D80" s="9"/>
      <c r="E80" s="9"/>
      <c r="F80" s="9"/>
      <c r="G80" s="9"/>
      <c r="H80" s="9"/>
      <c r="I80" s="9"/>
      <c r="J80" s="9"/>
      <c r="K80" s="9"/>
      <c r="L80" s="9"/>
      <c r="M80" s="9"/>
      <c r="N80" s="9"/>
      <c r="O80" s="9"/>
      <c r="P80" s="9"/>
      <c r="Q80" s="39"/>
      <c r="R80" s="39"/>
      <c r="S80" s="9"/>
      <c r="T80" s="9"/>
      <c r="U80" s="9"/>
      <c r="V80" s="9"/>
      <c r="W80" s="9"/>
      <c r="X80" s="9"/>
      <c r="Y80" s="9"/>
      <c r="Z80" s="9"/>
    </row>
    <row r="81" spans="1:26">
      <c r="A81" s="9"/>
      <c r="B81" s="9"/>
      <c r="C81" s="9"/>
      <c r="D81" s="9"/>
      <c r="E81" s="9"/>
      <c r="F81" s="9"/>
      <c r="G81" s="9"/>
      <c r="H81" s="9"/>
      <c r="I81" s="9"/>
      <c r="J81" s="9"/>
      <c r="K81" s="9"/>
      <c r="L81" s="9"/>
      <c r="M81" s="9"/>
      <c r="N81" s="9"/>
      <c r="O81" s="9"/>
      <c r="P81" s="9"/>
      <c r="Q81" s="39"/>
      <c r="R81" s="39"/>
      <c r="S81" s="9"/>
      <c r="T81" s="9"/>
      <c r="U81" s="9"/>
      <c r="V81" s="9"/>
      <c r="W81" s="9"/>
      <c r="X81" s="9"/>
      <c r="Y81" s="9"/>
      <c r="Z81" s="9"/>
    </row>
    <row r="82" spans="1:26">
      <c r="A82" s="9"/>
      <c r="B82" s="9"/>
      <c r="C82" s="9"/>
      <c r="D82" s="9"/>
      <c r="E82" s="9"/>
      <c r="F82" s="9"/>
      <c r="G82" s="9"/>
      <c r="H82" s="9"/>
      <c r="I82" s="9"/>
      <c r="J82" s="9"/>
      <c r="K82" s="9"/>
      <c r="L82" s="9"/>
      <c r="M82" s="9"/>
      <c r="N82" s="9"/>
      <c r="O82" s="9"/>
      <c r="P82" s="9"/>
      <c r="Q82" s="39"/>
      <c r="R82" s="39"/>
      <c r="S82" s="9"/>
      <c r="T82" s="9"/>
      <c r="U82" s="9"/>
      <c r="V82" s="9"/>
      <c r="W82" s="9"/>
      <c r="X82" s="9"/>
      <c r="Y82" s="9"/>
      <c r="Z82" s="9"/>
    </row>
    <row r="83" spans="1:26">
      <c r="A83" s="9"/>
      <c r="B83" s="9"/>
      <c r="C83" s="9"/>
      <c r="D83" s="9"/>
      <c r="E83" s="9"/>
      <c r="F83" s="9"/>
      <c r="G83" s="9"/>
      <c r="H83" s="9"/>
      <c r="I83" s="9"/>
      <c r="J83" s="9"/>
      <c r="K83" s="9"/>
      <c r="L83" s="9"/>
      <c r="M83" s="9"/>
      <c r="N83" s="9"/>
      <c r="O83" s="9"/>
      <c r="P83" s="9"/>
      <c r="Q83" s="39"/>
      <c r="R83" s="39"/>
      <c r="S83" s="9"/>
      <c r="T83" s="9"/>
      <c r="U83" s="9"/>
      <c r="V83" s="9"/>
      <c r="W83" s="9"/>
      <c r="X83" s="9"/>
      <c r="Y83" s="9"/>
      <c r="Z83" s="9"/>
    </row>
    <row r="84" spans="1:26">
      <c r="A84" s="9"/>
      <c r="B84" s="9"/>
      <c r="C84" s="9"/>
      <c r="D84" s="9"/>
      <c r="E84" s="9"/>
      <c r="F84" s="9"/>
      <c r="G84" s="9"/>
      <c r="H84" s="9"/>
      <c r="I84" s="9"/>
      <c r="J84" s="9"/>
      <c r="K84" s="9"/>
      <c r="L84" s="9"/>
      <c r="M84" s="9"/>
      <c r="N84" s="9"/>
      <c r="O84" s="9"/>
      <c r="P84" s="9"/>
      <c r="Q84" s="39"/>
      <c r="R84" s="39"/>
      <c r="S84" s="9"/>
      <c r="T84" s="9"/>
      <c r="U84" s="9"/>
      <c r="V84" s="9"/>
      <c r="W84" s="9"/>
      <c r="X84" s="9"/>
      <c r="Y84" s="9"/>
      <c r="Z84" s="9"/>
    </row>
    <row r="85" spans="1:26">
      <c r="A85" s="9"/>
      <c r="B85" s="9"/>
      <c r="C85" s="9"/>
      <c r="D85" s="9"/>
      <c r="E85" s="9"/>
      <c r="F85" s="9"/>
      <c r="G85" s="9"/>
      <c r="H85" s="9"/>
      <c r="I85" s="9"/>
      <c r="J85" s="9"/>
      <c r="K85" s="9"/>
      <c r="L85" s="9"/>
      <c r="M85" s="9"/>
      <c r="N85" s="9"/>
      <c r="O85" s="9"/>
      <c r="P85" s="9"/>
      <c r="Q85" s="39"/>
      <c r="R85" s="39"/>
      <c r="S85" s="9"/>
      <c r="T85" s="9"/>
      <c r="U85" s="9"/>
      <c r="V85" s="9"/>
      <c r="W85" s="9"/>
      <c r="X85" s="9"/>
      <c r="Y85" s="9"/>
      <c r="Z85" s="9"/>
    </row>
    <row r="86" spans="1:26">
      <c r="A86" s="9"/>
      <c r="B86" s="9"/>
      <c r="C86" s="9"/>
      <c r="D86" s="9"/>
      <c r="E86" s="9"/>
      <c r="F86" s="9"/>
      <c r="G86" s="9"/>
      <c r="H86" s="9"/>
      <c r="I86" s="9"/>
      <c r="J86" s="9"/>
      <c r="K86" s="9"/>
      <c r="L86" s="9"/>
      <c r="M86" s="9"/>
      <c r="N86" s="9"/>
      <c r="O86" s="9"/>
      <c r="P86" s="9"/>
      <c r="Q86" s="39"/>
      <c r="R86" s="39"/>
      <c r="S86" s="9"/>
      <c r="T86" s="9"/>
      <c r="U86" s="9"/>
      <c r="V86" s="9"/>
      <c r="W86" s="9"/>
      <c r="X86" s="9"/>
      <c r="Y86" s="9"/>
      <c r="Z86" s="9"/>
    </row>
    <row r="87" spans="1:26">
      <c r="A87" s="9"/>
      <c r="B87" s="9"/>
      <c r="C87" s="9"/>
      <c r="D87" s="9"/>
      <c r="E87" s="9"/>
      <c r="F87" s="9"/>
      <c r="G87" s="9"/>
      <c r="H87" s="9"/>
      <c r="I87" s="9"/>
      <c r="J87" s="9"/>
      <c r="K87" s="9"/>
      <c r="L87" s="9"/>
      <c r="M87" s="9"/>
      <c r="N87" s="9"/>
      <c r="O87" s="9"/>
      <c r="P87" s="9"/>
      <c r="Q87" s="39"/>
      <c r="R87" s="39"/>
      <c r="S87" s="9"/>
      <c r="T87" s="9"/>
      <c r="U87" s="9"/>
      <c r="V87" s="9"/>
      <c r="W87" s="9"/>
      <c r="X87" s="9"/>
      <c r="Y87" s="9"/>
      <c r="Z87" s="9"/>
    </row>
    <row r="88" spans="1:26">
      <c r="A88" s="9"/>
      <c r="B88" s="9"/>
      <c r="C88" s="9"/>
      <c r="D88" s="9"/>
      <c r="E88" s="9"/>
      <c r="F88" s="9"/>
      <c r="G88" s="9"/>
      <c r="H88" s="9"/>
      <c r="I88" s="9"/>
      <c r="J88" s="9"/>
      <c r="K88" s="9"/>
      <c r="L88" s="9"/>
      <c r="M88" s="9"/>
      <c r="N88" s="9"/>
      <c r="O88" s="9"/>
      <c r="P88" s="9"/>
      <c r="Q88" s="39"/>
      <c r="R88" s="39"/>
      <c r="S88" s="9"/>
      <c r="T88" s="9"/>
      <c r="U88" s="9"/>
      <c r="V88" s="9"/>
      <c r="W88" s="9"/>
      <c r="X88" s="9"/>
      <c r="Y88" s="9"/>
      <c r="Z88" s="9"/>
    </row>
    <row r="89" spans="1:26">
      <c r="A89" s="9"/>
      <c r="B89" s="9"/>
      <c r="C89" s="9"/>
      <c r="D89" s="9"/>
      <c r="E89" s="9"/>
      <c r="F89" s="9"/>
      <c r="G89" s="9"/>
      <c r="H89" s="9"/>
      <c r="I89" s="9"/>
      <c r="J89" s="9"/>
      <c r="K89" s="9"/>
      <c r="L89" s="9"/>
      <c r="M89" s="9"/>
      <c r="N89" s="9"/>
      <c r="O89" s="9"/>
      <c r="P89" s="9"/>
      <c r="Q89" s="39"/>
      <c r="R89" s="39"/>
      <c r="S89" s="9"/>
      <c r="T89" s="9"/>
      <c r="U89" s="9"/>
      <c r="V89" s="9"/>
      <c r="W89" s="9"/>
      <c r="X89" s="9"/>
      <c r="Y89" s="9"/>
      <c r="Z89" s="9"/>
    </row>
    <row r="90" spans="1:26">
      <c r="A90" s="9"/>
      <c r="B90" s="9"/>
      <c r="C90" s="9"/>
      <c r="D90" s="9"/>
      <c r="E90" s="9"/>
      <c r="F90" s="9"/>
      <c r="G90" s="9"/>
      <c r="H90" s="9"/>
      <c r="I90" s="9"/>
      <c r="J90" s="9"/>
      <c r="K90" s="9"/>
      <c r="L90" s="9"/>
      <c r="M90" s="9"/>
      <c r="N90" s="9"/>
      <c r="O90" s="9"/>
      <c r="P90" s="9"/>
      <c r="Q90" s="39"/>
      <c r="R90" s="39"/>
      <c r="S90" s="9"/>
      <c r="T90" s="9"/>
      <c r="U90" s="9"/>
      <c r="V90" s="9"/>
      <c r="W90" s="9"/>
      <c r="X90" s="9"/>
      <c r="Y90" s="9"/>
      <c r="Z90" s="9"/>
    </row>
    <row r="91" spans="1:26">
      <c r="A91" s="9"/>
      <c r="B91" s="9"/>
      <c r="C91" s="9"/>
      <c r="D91" s="9"/>
      <c r="E91" s="9"/>
      <c r="F91" s="9"/>
      <c r="G91" s="9"/>
      <c r="H91" s="9"/>
      <c r="I91" s="9"/>
      <c r="J91" s="9"/>
      <c r="K91" s="9"/>
      <c r="L91" s="9"/>
      <c r="M91" s="9"/>
      <c r="N91" s="9"/>
      <c r="O91" s="9"/>
      <c r="P91" s="9"/>
      <c r="Q91" s="39"/>
      <c r="R91" s="39"/>
      <c r="S91" s="9"/>
      <c r="T91" s="9"/>
      <c r="U91" s="9"/>
      <c r="V91" s="9"/>
      <c r="W91" s="9"/>
      <c r="X91" s="9"/>
      <c r="Y91" s="9"/>
      <c r="Z91" s="9"/>
    </row>
    <row r="92" spans="1:26">
      <c r="A92" s="9"/>
      <c r="B92" s="9"/>
      <c r="C92" s="9"/>
      <c r="D92" s="9"/>
      <c r="E92" s="9"/>
      <c r="F92" s="9"/>
      <c r="G92" s="9"/>
      <c r="H92" s="9"/>
      <c r="I92" s="9"/>
      <c r="J92" s="9"/>
      <c r="K92" s="9"/>
      <c r="L92" s="9"/>
      <c r="M92" s="9"/>
      <c r="N92" s="9"/>
      <c r="O92" s="9"/>
      <c r="P92" s="9"/>
      <c r="Q92" s="39"/>
      <c r="R92" s="39"/>
      <c r="S92" s="9"/>
      <c r="T92" s="9"/>
      <c r="U92" s="9"/>
      <c r="V92" s="9"/>
      <c r="W92" s="9"/>
      <c r="X92" s="9"/>
      <c r="Y92" s="9"/>
      <c r="Z92" s="9"/>
    </row>
    <row r="93" spans="1:26">
      <c r="A93" s="9"/>
      <c r="B93" s="9"/>
      <c r="C93" s="9"/>
      <c r="D93" s="9"/>
      <c r="E93" s="9"/>
      <c r="F93" s="9"/>
      <c r="G93" s="9"/>
      <c r="H93" s="9"/>
      <c r="I93" s="9"/>
      <c r="J93" s="9"/>
      <c r="K93" s="9"/>
      <c r="L93" s="9"/>
      <c r="M93" s="9"/>
      <c r="N93" s="9"/>
      <c r="O93" s="9"/>
      <c r="P93" s="9"/>
      <c r="Q93" s="39"/>
      <c r="R93" s="39"/>
      <c r="S93" s="9"/>
      <c r="T93" s="9"/>
      <c r="U93" s="9"/>
      <c r="V93" s="9"/>
      <c r="W93" s="9"/>
      <c r="X93" s="9"/>
      <c r="Y93" s="9"/>
      <c r="Z93" s="9"/>
    </row>
    <row r="94" spans="1:26">
      <c r="A94" s="9"/>
      <c r="B94" s="9"/>
      <c r="C94" s="9"/>
      <c r="D94" s="9"/>
      <c r="E94" s="9"/>
      <c r="F94" s="9"/>
      <c r="G94" s="9"/>
      <c r="H94" s="9"/>
      <c r="I94" s="9"/>
      <c r="J94" s="9"/>
      <c r="K94" s="9"/>
      <c r="L94" s="9"/>
      <c r="M94" s="9"/>
      <c r="N94" s="9"/>
      <c r="O94" s="9"/>
      <c r="P94" s="9"/>
      <c r="Q94" s="39"/>
      <c r="R94" s="39"/>
      <c r="S94" s="9"/>
      <c r="T94" s="9"/>
      <c r="U94" s="9"/>
      <c r="V94" s="9"/>
      <c r="W94" s="9"/>
      <c r="X94" s="9"/>
      <c r="Y94" s="9"/>
      <c r="Z94" s="9"/>
    </row>
    <row r="95" spans="1:26">
      <c r="A95" s="9"/>
      <c r="B95" s="9"/>
      <c r="C95" s="9"/>
      <c r="D95" s="9"/>
      <c r="E95" s="9"/>
      <c r="F95" s="9"/>
      <c r="G95" s="9"/>
      <c r="H95" s="9"/>
      <c r="I95" s="9"/>
      <c r="J95" s="9"/>
      <c r="K95" s="9"/>
      <c r="L95" s="9"/>
      <c r="M95" s="9"/>
      <c r="N95" s="9"/>
      <c r="O95" s="9"/>
      <c r="P95" s="9"/>
      <c r="Q95" s="39"/>
      <c r="R95" s="39"/>
      <c r="S95" s="9"/>
      <c r="T95" s="9"/>
      <c r="U95" s="9"/>
      <c r="V95" s="9"/>
      <c r="W95" s="9"/>
      <c r="X95" s="9"/>
      <c r="Y95" s="9"/>
      <c r="Z95" s="9"/>
    </row>
    <row r="96" spans="1:26">
      <c r="A96" s="9"/>
      <c r="B96" s="9"/>
      <c r="C96" s="9"/>
      <c r="D96" s="9"/>
      <c r="E96" s="9"/>
      <c r="F96" s="9"/>
      <c r="G96" s="9"/>
      <c r="H96" s="9"/>
      <c r="I96" s="9"/>
      <c r="J96" s="9"/>
      <c r="K96" s="9"/>
      <c r="L96" s="9"/>
      <c r="M96" s="9"/>
      <c r="N96" s="9"/>
      <c r="O96" s="9"/>
      <c r="P96" s="9"/>
      <c r="Q96" s="39"/>
      <c r="R96" s="39"/>
      <c r="S96" s="9"/>
      <c r="T96" s="9"/>
      <c r="U96" s="9"/>
      <c r="V96" s="9"/>
      <c r="W96" s="9"/>
      <c r="X96" s="9"/>
      <c r="Y96" s="9"/>
      <c r="Z96" s="9"/>
    </row>
    <row r="97" spans="1:29">
      <c r="A97" s="9"/>
      <c r="B97" s="9"/>
      <c r="C97" s="9"/>
      <c r="D97" s="9"/>
      <c r="E97" s="9"/>
      <c r="F97" s="9"/>
      <c r="G97" s="9"/>
      <c r="H97" s="9"/>
      <c r="I97" s="9"/>
      <c r="J97" s="9"/>
      <c r="K97" s="9"/>
      <c r="L97" s="9"/>
      <c r="M97" s="9"/>
      <c r="N97" s="9"/>
      <c r="O97" s="9"/>
      <c r="P97" s="9"/>
      <c r="Q97" s="39"/>
      <c r="R97" s="39"/>
      <c r="S97" s="9"/>
      <c r="T97" s="9"/>
      <c r="U97" s="9"/>
      <c r="V97" s="9"/>
      <c r="W97" s="9"/>
      <c r="X97" s="9"/>
      <c r="Y97" s="9"/>
      <c r="Z97" s="9"/>
    </row>
    <row r="98" spans="1:29">
      <c r="A98" s="9"/>
      <c r="B98" s="9"/>
      <c r="C98" s="9"/>
      <c r="D98" s="9"/>
      <c r="E98" s="9"/>
      <c r="F98" s="9"/>
      <c r="G98" s="9"/>
      <c r="H98" s="9"/>
      <c r="I98" s="9"/>
      <c r="J98" s="9"/>
      <c r="K98" s="9"/>
      <c r="L98" s="9"/>
      <c r="M98" s="9"/>
      <c r="N98" s="9"/>
      <c r="O98" s="9"/>
      <c r="P98" s="9"/>
      <c r="Q98" s="39"/>
      <c r="R98" s="39"/>
      <c r="S98" s="9"/>
      <c r="T98" s="9"/>
      <c r="U98" s="9"/>
      <c r="V98" s="9"/>
      <c r="W98" s="9"/>
      <c r="X98" s="9"/>
      <c r="Y98" s="9"/>
      <c r="Z98" s="9"/>
    </row>
    <row r="99" spans="1:29">
      <c r="A99" s="9"/>
      <c r="B99" s="9"/>
      <c r="C99" s="9"/>
      <c r="D99" s="9"/>
      <c r="E99" s="9"/>
      <c r="F99" s="9"/>
      <c r="G99" s="9"/>
      <c r="H99" s="9"/>
      <c r="I99" s="9"/>
      <c r="J99" s="9"/>
      <c r="K99" s="9"/>
      <c r="L99" s="9"/>
      <c r="M99" s="9"/>
      <c r="N99" s="9"/>
      <c r="O99" s="9"/>
      <c r="P99" s="9"/>
      <c r="Q99" s="39"/>
      <c r="R99" s="39"/>
      <c r="S99" s="9"/>
      <c r="T99" s="9"/>
      <c r="U99" s="9"/>
      <c r="V99" s="9"/>
      <c r="W99" s="9"/>
      <c r="X99" s="9"/>
      <c r="Y99" s="9"/>
      <c r="Z99" s="9"/>
    </row>
    <row r="100" spans="1:29">
      <c r="A100" s="9"/>
      <c r="B100" s="9"/>
      <c r="C100" s="9"/>
      <c r="D100" s="9"/>
      <c r="E100" s="9"/>
      <c r="F100" s="9"/>
      <c r="G100" s="9"/>
      <c r="H100" s="9"/>
      <c r="I100" s="9"/>
      <c r="J100" s="9"/>
      <c r="K100" s="9"/>
      <c r="L100" s="9"/>
      <c r="M100" s="9"/>
      <c r="N100" s="9"/>
      <c r="O100" s="9"/>
      <c r="P100" s="9"/>
      <c r="Q100" s="39"/>
      <c r="R100" s="39"/>
      <c r="S100" s="9"/>
      <c r="T100" s="9"/>
      <c r="U100" s="9"/>
      <c r="V100" s="9"/>
      <c r="W100" s="9"/>
      <c r="X100" s="9"/>
      <c r="Y100" s="9"/>
      <c r="Z100" s="9"/>
    </row>
    <row r="101" spans="1:29">
      <c r="A101" s="9"/>
      <c r="B101" s="9"/>
      <c r="C101" s="9"/>
      <c r="D101" s="9"/>
      <c r="E101" s="9"/>
      <c r="F101" s="9"/>
      <c r="G101" s="9"/>
      <c r="H101" s="9"/>
      <c r="I101" s="9"/>
      <c r="J101" s="9"/>
      <c r="K101" s="9"/>
      <c r="L101" s="9"/>
      <c r="M101" s="9"/>
      <c r="N101" s="9"/>
      <c r="O101" s="9"/>
      <c r="P101" s="9"/>
      <c r="Q101" s="39"/>
      <c r="R101" s="39"/>
      <c r="S101" s="9"/>
      <c r="T101" s="9"/>
      <c r="U101" s="9"/>
      <c r="V101" s="9"/>
      <c r="W101" s="9"/>
      <c r="X101" s="9"/>
      <c r="Y101" s="9"/>
      <c r="Z101" s="9"/>
    </row>
    <row r="102" spans="1:29">
      <c r="A102" s="9"/>
      <c r="B102" s="9"/>
      <c r="C102" s="9"/>
      <c r="D102" s="9"/>
      <c r="E102" s="9"/>
      <c r="F102" s="9"/>
      <c r="G102" s="9"/>
      <c r="H102" s="9"/>
      <c r="I102" s="9"/>
      <c r="J102" s="9"/>
      <c r="K102" s="9"/>
      <c r="L102" s="9"/>
      <c r="M102" s="9"/>
      <c r="N102" s="9"/>
      <c r="O102" s="9"/>
      <c r="P102" s="9"/>
      <c r="Q102" s="39"/>
      <c r="R102" s="39"/>
      <c r="S102" s="9"/>
      <c r="T102" s="9"/>
      <c r="U102" s="9"/>
      <c r="V102" s="9"/>
      <c r="W102" s="9"/>
      <c r="X102" s="9"/>
      <c r="Y102" s="9"/>
      <c r="Z102" s="9"/>
    </row>
    <row r="103" spans="1:29">
      <c r="A103" s="9"/>
      <c r="B103" s="9"/>
      <c r="C103" s="9"/>
      <c r="D103" s="9"/>
      <c r="E103" s="9"/>
      <c r="F103" s="9"/>
      <c r="G103" s="9"/>
      <c r="H103" s="9"/>
      <c r="I103" s="9"/>
      <c r="J103" s="9"/>
      <c r="K103" s="9"/>
      <c r="L103" s="9"/>
      <c r="M103" s="9"/>
      <c r="N103" s="9"/>
      <c r="O103" s="9"/>
      <c r="P103" s="9"/>
      <c r="Q103" s="39"/>
      <c r="R103" s="39"/>
      <c r="S103" s="9"/>
      <c r="T103" s="9"/>
      <c r="U103" s="9"/>
      <c r="V103" s="9"/>
      <c r="W103" s="9"/>
      <c r="X103" s="9"/>
      <c r="Y103" s="9"/>
      <c r="Z103" s="9"/>
    </row>
    <row r="104" spans="1:29">
      <c r="A104" s="9"/>
      <c r="B104" s="9"/>
      <c r="C104" s="9"/>
      <c r="D104" s="9"/>
      <c r="E104" s="9"/>
      <c r="F104" s="9"/>
      <c r="G104" s="9"/>
      <c r="H104" s="9"/>
      <c r="I104" s="9"/>
      <c r="J104" s="9"/>
      <c r="K104" s="9"/>
      <c r="L104" s="9"/>
      <c r="M104" s="9"/>
      <c r="N104" s="9"/>
      <c r="O104" s="9"/>
      <c r="P104" s="9"/>
      <c r="Q104" s="39"/>
      <c r="R104" s="39"/>
      <c r="S104" s="9"/>
      <c r="T104" s="9"/>
      <c r="U104" s="9"/>
      <c r="V104" s="9"/>
      <c r="W104" s="9"/>
      <c r="X104" s="9"/>
      <c r="Y104" s="9"/>
      <c r="Z104" s="9"/>
    </row>
    <row r="105" spans="1:29">
      <c r="A105" s="9"/>
      <c r="B105" s="9"/>
      <c r="C105" s="9"/>
      <c r="D105" s="9"/>
      <c r="E105" s="9"/>
      <c r="F105" s="9"/>
      <c r="G105" s="9"/>
      <c r="H105" s="9"/>
      <c r="I105" s="9"/>
      <c r="J105" s="9"/>
      <c r="K105" s="9"/>
      <c r="L105" s="9"/>
      <c r="M105" s="9"/>
      <c r="N105" s="9"/>
      <c r="O105" s="9"/>
      <c r="P105" s="9"/>
      <c r="Q105" s="39"/>
      <c r="R105" s="39"/>
      <c r="S105" s="9"/>
      <c r="T105" s="9"/>
      <c r="U105" s="9"/>
      <c r="V105" s="9"/>
      <c r="W105" s="9"/>
      <c r="X105" s="9"/>
      <c r="Y105" s="9"/>
      <c r="Z105" s="9"/>
    </row>
    <row r="106" spans="1:29">
      <c r="A106" s="9"/>
      <c r="B106" s="9"/>
      <c r="C106" s="9"/>
      <c r="D106" s="9"/>
      <c r="E106" s="9"/>
      <c r="F106" s="9"/>
      <c r="G106" s="9"/>
      <c r="H106" s="9"/>
      <c r="I106" s="9"/>
      <c r="J106" s="9"/>
      <c r="K106" s="9"/>
      <c r="L106" s="9"/>
      <c r="M106" s="9"/>
      <c r="N106" s="9"/>
      <c r="O106" s="9"/>
      <c r="P106" s="9"/>
      <c r="Q106" s="39"/>
      <c r="R106" s="39"/>
      <c r="S106" s="9"/>
      <c r="T106" s="9"/>
      <c r="U106" s="9"/>
      <c r="V106" s="9"/>
      <c r="W106" s="9"/>
      <c r="X106" s="9"/>
      <c r="Y106" s="9"/>
      <c r="Z106" s="9"/>
    </row>
    <row r="107" spans="1:29">
      <c r="A107" s="9"/>
      <c r="B107" s="9"/>
      <c r="C107" s="9"/>
      <c r="D107" s="9"/>
      <c r="E107" s="9"/>
      <c r="F107" s="9"/>
      <c r="G107" s="9"/>
      <c r="H107" s="9"/>
      <c r="I107" s="9"/>
      <c r="J107" s="9"/>
      <c r="K107" s="9"/>
      <c r="L107" s="9"/>
      <c r="M107" s="9"/>
      <c r="N107" s="9"/>
      <c r="O107" s="9"/>
      <c r="P107" s="9"/>
      <c r="Q107" s="39"/>
      <c r="R107" s="39"/>
      <c r="S107" s="9"/>
      <c r="T107" s="9"/>
      <c r="U107" s="9"/>
      <c r="V107" s="9"/>
      <c r="W107" s="9"/>
      <c r="X107" s="9"/>
      <c r="Y107" s="9"/>
      <c r="Z107" s="9"/>
    </row>
    <row r="108" spans="1:29">
      <c r="A108" s="9"/>
      <c r="B108" s="9"/>
      <c r="C108" s="9"/>
      <c r="D108" s="9"/>
      <c r="E108" s="9"/>
      <c r="F108" s="9"/>
      <c r="G108" s="9"/>
      <c r="H108" s="9"/>
      <c r="I108" s="9"/>
      <c r="J108" s="9"/>
      <c r="K108" s="9"/>
      <c r="L108" s="9"/>
      <c r="M108" s="9"/>
      <c r="N108" s="9"/>
      <c r="O108" s="9"/>
      <c r="P108" s="9"/>
      <c r="Q108" s="39"/>
      <c r="R108" s="39"/>
      <c r="S108" s="9"/>
      <c r="T108" s="9"/>
      <c r="U108" s="9"/>
      <c r="V108" s="9"/>
      <c r="W108" s="9"/>
      <c r="X108" s="9"/>
      <c r="Y108" s="9"/>
      <c r="Z108" s="9"/>
    </row>
    <row r="109" spans="1:29">
      <c r="A109" s="9"/>
      <c r="B109" s="9"/>
      <c r="C109" s="9"/>
      <c r="D109" s="9"/>
      <c r="E109" s="9"/>
      <c r="F109" s="9"/>
      <c r="G109" s="9"/>
      <c r="H109" s="9"/>
      <c r="I109" s="9"/>
      <c r="J109" s="9"/>
      <c r="K109" s="9"/>
      <c r="L109" s="9"/>
      <c r="M109" s="9"/>
      <c r="N109" s="9"/>
      <c r="O109" s="9"/>
      <c r="P109" s="9"/>
      <c r="Q109" s="39"/>
      <c r="R109" s="39"/>
      <c r="S109" s="9"/>
      <c r="T109" s="9"/>
      <c r="U109" s="9"/>
      <c r="V109" s="9"/>
      <c r="W109" s="9"/>
      <c r="X109" s="9"/>
      <c r="Y109" s="9"/>
      <c r="Z109" s="9"/>
    </row>
    <row r="110" spans="1:29">
      <c r="A110" s="9"/>
      <c r="B110" s="9"/>
      <c r="C110" s="9"/>
      <c r="D110" s="9"/>
      <c r="E110" s="9"/>
      <c r="F110" s="9"/>
      <c r="G110" s="9"/>
      <c r="H110" s="9"/>
      <c r="I110" s="9"/>
      <c r="J110" s="9"/>
      <c r="K110" s="9"/>
      <c r="L110" s="9"/>
      <c r="M110" s="9"/>
      <c r="N110" s="9"/>
      <c r="O110" s="9"/>
      <c r="P110" s="9"/>
      <c r="Q110" s="39"/>
      <c r="R110" s="39"/>
      <c r="S110" s="9"/>
      <c r="T110" s="9"/>
      <c r="U110" s="9"/>
      <c r="V110" s="9"/>
      <c r="W110" s="9"/>
      <c r="X110" s="9"/>
      <c r="Y110" s="9"/>
      <c r="Z110" s="9"/>
    </row>
    <row r="111" spans="1:29">
      <c r="A111" s="9"/>
      <c r="B111" s="9"/>
      <c r="C111" s="9"/>
      <c r="D111" s="9"/>
      <c r="E111" s="9"/>
      <c r="F111" s="9"/>
      <c r="G111" s="9"/>
      <c r="H111" s="9"/>
      <c r="I111" s="9"/>
      <c r="J111" s="9"/>
      <c r="K111" s="9"/>
      <c r="L111" s="9"/>
      <c r="M111" s="9"/>
      <c r="N111" s="9"/>
      <c r="O111" s="9"/>
      <c r="P111" s="9"/>
      <c r="Q111" s="39"/>
      <c r="R111" s="39"/>
      <c r="S111" s="9"/>
      <c r="T111" s="9"/>
      <c r="U111" s="9"/>
      <c r="V111" s="9"/>
      <c r="W111" s="9"/>
      <c r="X111" s="9"/>
      <c r="Y111" s="9"/>
      <c r="Z111" s="9"/>
    </row>
    <row r="112" spans="1:29">
      <c r="A112" s="9"/>
      <c r="B112" s="9"/>
      <c r="C112" s="9"/>
      <c r="D112" s="9"/>
      <c r="E112" s="9"/>
      <c r="F112" s="9"/>
      <c r="G112" s="9"/>
      <c r="H112" s="9"/>
      <c r="I112" s="9"/>
      <c r="J112" s="9"/>
      <c r="K112" s="9"/>
      <c r="L112" s="930"/>
      <c r="M112" s="930"/>
      <c r="N112" s="930"/>
      <c r="O112" s="930"/>
      <c r="P112" s="930"/>
      <c r="Q112" s="930"/>
      <c r="R112" s="930"/>
      <c r="S112" s="930"/>
      <c r="T112" s="930"/>
      <c r="U112" s="930"/>
      <c r="V112" s="930"/>
      <c r="W112" s="930"/>
      <c r="X112" s="930"/>
      <c r="Y112" s="930"/>
      <c r="Z112" s="930"/>
      <c r="AA112" s="931"/>
      <c r="AB112" s="931"/>
      <c r="AC112" s="931"/>
    </row>
    <row r="113" spans="1:29">
      <c r="A113" s="9"/>
      <c r="B113" s="9"/>
      <c r="C113" s="9"/>
      <c r="D113" s="9"/>
      <c r="E113" s="9"/>
      <c r="F113" s="9"/>
      <c r="G113" s="9"/>
      <c r="H113" s="9"/>
      <c r="I113" s="9"/>
      <c r="J113" s="9"/>
      <c r="K113" s="9"/>
      <c r="L113" s="930"/>
      <c r="M113" s="930"/>
      <c r="N113" s="930"/>
      <c r="O113" s="930"/>
      <c r="P113" s="930"/>
      <c r="Q113" s="930"/>
      <c r="R113" s="930"/>
      <c r="S113" s="930"/>
      <c r="T113" s="930"/>
      <c r="U113" s="930"/>
      <c r="V113" s="930"/>
      <c r="W113" s="930"/>
      <c r="X113" s="930"/>
      <c r="Y113" s="930"/>
      <c r="Z113" s="930"/>
      <c r="AA113" s="931"/>
      <c r="AB113" s="931"/>
      <c r="AC113" s="931"/>
    </row>
    <row r="114" spans="1:29">
      <c r="A114" s="57"/>
      <c r="B114" s="57"/>
      <c r="C114" s="57"/>
      <c r="D114" s="57"/>
      <c r="E114" s="57"/>
      <c r="F114" s="57"/>
      <c r="G114" s="57"/>
      <c r="H114" s="57"/>
      <c r="I114" s="57"/>
      <c r="J114" s="57"/>
      <c r="K114" s="57"/>
      <c r="L114" s="932"/>
      <c r="M114" s="932"/>
      <c r="N114" s="932"/>
      <c r="O114" s="932"/>
      <c r="P114" s="932"/>
      <c r="Q114" s="932"/>
      <c r="R114" s="932"/>
      <c r="S114" s="932"/>
      <c r="T114" s="932"/>
      <c r="U114" s="932"/>
      <c r="V114" s="932"/>
      <c r="W114" s="932"/>
      <c r="X114" s="932"/>
      <c r="Y114" s="932"/>
      <c r="Z114" s="932"/>
      <c r="AA114" s="931"/>
      <c r="AB114" s="931"/>
      <c r="AC114" s="931"/>
    </row>
    <row r="115" spans="1:29">
      <c r="A115" s="57"/>
      <c r="B115" s="57"/>
      <c r="C115" s="57"/>
      <c r="D115" s="57"/>
      <c r="E115" s="57"/>
      <c r="F115" s="57"/>
      <c r="G115" s="57"/>
      <c r="H115" s="57"/>
      <c r="I115" s="57"/>
      <c r="J115" s="57"/>
      <c r="K115" s="57"/>
      <c r="L115" s="932"/>
      <c r="M115" s="932"/>
      <c r="N115" s="932"/>
      <c r="O115" s="932"/>
      <c r="P115" s="932"/>
      <c r="Q115" s="932"/>
      <c r="R115" s="932"/>
      <c r="S115" s="932"/>
      <c r="T115" s="932"/>
      <c r="U115" s="932"/>
      <c r="V115" s="932"/>
      <c r="W115" s="932"/>
      <c r="X115" s="932"/>
      <c r="Y115" s="932"/>
      <c r="Z115" s="932"/>
      <c r="AA115" s="932"/>
      <c r="AB115" s="931"/>
      <c r="AC115" s="931"/>
    </row>
    <row r="116" spans="1:29">
      <c r="A116" s="57"/>
      <c r="B116" s="57"/>
      <c r="C116" s="57"/>
      <c r="D116" s="57"/>
      <c r="E116" s="57"/>
      <c r="F116" s="57"/>
      <c r="G116" s="57"/>
      <c r="H116" s="57"/>
      <c r="I116" s="57"/>
      <c r="J116" s="57"/>
      <c r="K116" s="57"/>
      <c r="L116" s="932"/>
      <c r="M116" s="932"/>
      <c r="N116" s="933"/>
      <c r="O116" s="933"/>
      <c r="P116" s="933"/>
      <c r="Q116" s="933"/>
      <c r="R116" s="933"/>
      <c r="S116" s="933"/>
      <c r="T116" s="933"/>
      <c r="U116" s="933"/>
      <c r="V116" s="933"/>
      <c r="W116" s="933"/>
      <c r="X116" s="933"/>
      <c r="Y116" s="934"/>
      <c r="Z116" s="934"/>
      <c r="AA116" s="934"/>
      <c r="AB116" s="931"/>
      <c r="AC116" s="931"/>
    </row>
    <row r="117" spans="1:29">
      <c r="A117" s="57"/>
      <c r="B117" s="57"/>
      <c r="C117" s="57"/>
      <c r="D117" s="57"/>
      <c r="E117" s="57"/>
      <c r="F117" s="57"/>
      <c r="G117" s="57"/>
      <c r="H117" s="57"/>
      <c r="I117" s="57"/>
      <c r="J117" s="57"/>
      <c r="K117" s="57"/>
      <c r="L117" s="932"/>
      <c r="M117" s="932"/>
      <c r="N117" s="933"/>
      <c r="O117" s="933"/>
      <c r="P117" s="933"/>
      <c r="Q117" s="933"/>
      <c r="R117" s="933"/>
      <c r="S117" s="933"/>
      <c r="T117" s="933"/>
      <c r="U117" s="933"/>
      <c r="V117" s="933"/>
      <c r="W117" s="933"/>
      <c r="X117" s="933"/>
      <c r="Y117" s="934"/>
      <c r="Z117" s="934"/>
      <c r="AA117" s="934"/>
      <c r="AB117" s="931"/>
      <c r="AC117" s="931"/>
    </row>
    <row r="118" spans="1:29">
      <c r="A118" s="57"/>
      <c r="B118" s="57"/>
      <c r="C118" s="57"/>
      <c r="D118" s="57"/>
      <c r="E118" s="57"/>
      <c r="F118" s="57"/>
      <c r="G118" s="57"/>
      <c r="H118" s="57"/>
      <c r="I118" s="57"/>
      <c r="J118" s="57"/>
      <c r="K118" s="57"/>
      <c r="L118" s="932"/>
      <c r="M118" s="932"/>
      <c r="N118" s="935"/>
      <c r="O118" s="935"/>
      <c r="P118" s="935"/>
      <c r="Q118" s="935"/>
      <c r="R118" s="935"/>
      <c r="S118" s="935"/>
      <c r="T118" s="935"/>
      <c r="U118" s="935"/>
      <c r="V118" s="935"/>
      <c r="W118" s="935"/>
      <c r="X118" s="935"/>
      <c r="Y118" s="934"/>
      <c r="Z118" s="934"/>
      <c r="AA118" s="934"/>
      <c r="AB118" s="931"/>
      <c r="AC118" s="931"/>
    </row>
    <row r="119" spans="1:29">
      <c r="A119" s="57"/>
      <c r="B119" s="57"/>
      <c r="C119" s="57"/>
      <c r="D119" s="57"/>
      <c r="E119" s="57"/>
      <c r="F119" s="57"/>
      <c r="G119" s="57"/>
      <c r="H119" s="57"/>
      <c r="I119" s="57"/>
      <c r="J119" s="57"/>
      <c r="K119" s="57"/>
      <c r="L119" s="932"/>
      <c r="M119" s="932"/>
      <c r="N119" s="935"/>
      <c r="O119" s="935"/>
      <c r="P119" s="935"/>
      <c r="Q119" s="935"/>
      <c r="R119" s="935"/>
      <c r="S119" s="935"/>
      <c r="T119" s="935"/>
      <c r="U119" s="935"/>
      <c r="V119" s="935"/>
      <c r="W119" s="935"/>
      <c r="X119" s="935"/>
      <c r="Y119" s="934"/>
      <c r="Z119" s="934"/>
      <c r="AA119" s="934"/>
      <c r="AB119" s="931"/>
      <c r="AC119" s="931"/>
    </row>
    <row r="120" spans="1:29">
      <c r="A120" s="57"/>
      <c r="B120" s="57"/>
      <c r="C120" s="57"/>
      <c r="D120" s="57"/>
      <c r="E120" s="57"/>
      <c r="F120" s="57"/>
      <c r="G120" s="57"/>
      <c r="H120" s="57"/>
      <c r="I120" s="57"/>
      <c r="J120" s="57"/>
      <c r="K120" s="57"/>
      <c r="L120" s="932"/>
      <c r="M120" s="932"/>
      <c r="N120" s="935"/>
      <c r="O120" s="935"/>
      <c r="P120" s="935"/>
      <c r="Q120" s="935"/>
      <c r="R120" s="935"/>
      <c r="S120" s="935"/>
      <c r="T120" s="935"/>
      <c r="U120" s="935"/>
      <c r="V120" s="935"/>
      <c r="W120" s="935"/>
      <c r="X120" s="935"/>
      <c r="Y120" s="934"/>
      <c r="Z120" s="934"/>
      <c r="AA120" s="934"/>
      <c r="AB120" s="931"/>
      <c r="AC120" s="931"/>
    </row>
    <row r="121" spans="1:29">
      <c r="A121" s="57"/>
      <c r="B121" s="57"/>
      <c r="C121" s="57"/>
      <c r="D121" s="57"/>
      <c r="E121" s="57"/>
      <c r="F121" s="57"/>
      <c r="G121" s="57"/>
      <c r="H121" s="57"/>
      <c r="I121" s="57"/>
      <c r="J121" s="57"/>
      <c r="K121" s="57"/>
      <c r="L121" s="932"/>
      <c r="M121" s="932"/>
      <c r="N121" s="935"/>
      <c r="O121" s="935"/>
      <c r="P121" s="935"/>
      <c r="Q121" s="935"/>
      <c r="R121" s="935"/>
      <c r="S121" s="935"/>
      <c r="T121" s="935"/>
      <c r="U121" s="935"/>
      <c r="V121" s="935"/>
      <c r="W121" s="935"/>
      <c r="X121" s="935"/>
      <c r="Y121" s="936"/>
      <c r="Z121" s="936"/>
      <c r="AA121" s="936"/>
      <c r="AB121" s="931"/>
      <c r="AC121" s="931"/>
    </row>
    <row r="122" spans="1:29">
      <c r="A122" s="57"/>
      <c r="B122" s="57"/>
      <c r="C122" s="57"/>
      <c r="D122" s="57"/>
      <c r="E122" s="57"/>
      <c r="F122" s="57"/>
      <c r="G122" s="57"/>
      <c r="H122" s="57"/>
      <c r="I122" s="57"/>
      <c r="J122" s="57"/>
      <c r="K122" s="57"/>
      <c r="L122" s="932"/>
      <c r="M122" s="932"/>
      <c r="N122" s="935"/>
      <c r="O122" s="935"/>
      <c r="P122" s="935"/>
      <c r="Q122" s="935"/>
      <c r="R122" s="935"/>
      <c r="S122" s="935"/>
      <c r="T122" s="935"/>
      <c r="U122" s="935"/>
      <c r="V122" s="935"/>
      <c r="W122" s="935"/>
      <c r="X122" s="935"/>
      <c r="Y122" s="937"/>
      <c r="Z122" s="937"/>
      <c r="AA122" s="937"/>
      <c r="AB122" s="931"/>
      <c r="AC122" s="931"/>
    </row>
    <row r="123" spans="1:29">
      <c r="A123" s="57"/>
      <c r="B123" s="57"/>
      <c r="C123" s="57"/>
      <c r="D123" s="57"/>
      <c r="E123" s="57"/>
      <c r="F123" s="57"/>
      <c r="G123" s="57"/>
      <c r="H123" s="57"/>
      <c r="I123" s="57"/>
      <c r="J123" s="57"/>
      <c r="K123" s="57"/>
      <c r="L123" s="932"/>
      <c r="M123" s="932"/>
      <c r="N123" s="935"/>
      <c r="O123" s="935"/>
      <c r="P123" s="935"/>
      <c r="Q123" s="935"/>
      <c r="R123" s="935"/>
      <c r="S123" s="935"/>
      <c r="T123" s="935"/>
      <c r="U123" s="935"/>
      <c r="V123" s="935"/>
      <c r="W123" s="935"/>
      <c r="X123" s="935"/>
      <c r="Y123" s="934"/>
      <c r="Z123" s="934"/>
      <c r="AA123" s="934"/>
      <c r="AB123" s="931"/>
      <c r="AC123" s="931"/>
    </row>
    <row r="124" spans="1:29">
      <c r="A124" s="57"/>
      <c r="B124" s="57"/>
      <c r="C124" s="57"/>
      <c r="D124" s="57"/>
      <c r="E124" s="57"/>
      <c r="F124" s="57"/>
      <c r="G124" s="57"/>
      <c r="H124" s="57"/>
      <c r="I124" s="57"/>
      <c r="J124" s="57"/>
      <c r="K124" s="57"/>
      <c r="L124" s="932"/>
      <c r="M124" s="932"/>
      <c r="N124" s="932"/>
      <c r="O124" s="932"/>
      <c r="P124" s="932"/>
      <c r="Q124" s="932"/>
      <c r="R124" s="932"/>
      <c r="S124" s="932"/>
      <c r="T124" s="932"/>
      <c r="U124" s="932"/>
      <c r="V124" s="932"/>
      <c r="W124" s="932"/>
      <c r="X124" s="932"/>
      <c r="Y124" s="932"/>
      <c r="Z124" s="932"/>
      <c r="AA124" s="932"/>
      <c r="AB124" s="931"/>
      <c r="AC124" s="931"/>
    </row>
    <row r="125" spans="1:29">
      <c r="A125" s="57"/>
      <c r="B125" s="57"/>
      <c r="C125" s="57"/>
      <c r="D125" s="57"/>
      <c r="E125" s="57"/>
      <c r="F125" s="57"/>
      <c r="G125" s="57"/>
      <c r="H125" s="57"/>
      <c r="I125" s="57"/>
      <c r="J125" s="57"/>
      <c r="K125" s="57"/>
      <c r="L125" s="932"/>
      <c r="M125" s="932"/>
      <c r="N125" s="930"/>
      <c r="O125" s="930"/>
      <c r="P125" s="930"/>
      <c r="Q125" s="930"/>
      <c r="R125" s="930"/>
      <c r="S125" s="930"/>
      <c r="T125" s="930"/>
      <c r="U125" s="930"/>
      <c r="V125" s="930"/>
      <c r="W125" s="930"/>
      <c r="X125" s="930"/>
      <c r="Y125" s="930"/>
      <c r="Z125" s="930"/>
      <c r="AA125" s="930"/>
      <c r="AB125" s="931"/>
      <c r="AC125" s="931"/>
    </row>
    <row r="126" spans="1:29">
      <c r="A126" s="57"/>
      <c r="B126" s="57"/>
      <c r="C126" s="57"/>
      <c r="D126" s="57"/>
      <c r="E126" s="57"/>
      <c r="F126" s="57"/>
      <c r="G126" s="57"/>
      <c r="H126" s="57"/>
      <c r="I126" s="57"/>
      <c r="J126" s="57"/>
      <c r="K126" s="57"/>
      <c r="L126" s="932"/>
      <c r="M126" s="932"/>
      <c r="N126" s="934"/>
      <c r="O126" s="934"/>
      <c r="P126" s="934"/>
      <c r="Q126" s="934"/>
      <c r="R126" s="934"/>
      <c r="S126" s="934"/>
      <c r="T126" s="934"/>
      <c r="U126" s="934"/>
      <c r="V126" s="934"/>
      <c r="W126" s="934"/>
      <c r="X126" s="934"/>
      <c r="Y126" s="934"/>
      <c r="Z126" s="934"/>
      <c r="AA126" s="934"/>
      <c r="AB126" s="931"/>
      <c r="AC126" s="931"/>
    </row>
    <row r="127" spans="1:29">
      <c r="A127" s="57"/>
      <c r="B127" s="57"/>
      <c r="C127" s="57"/>
      <c r="D127" s="57"/>
      <c r="E127" s="57"/>
      <c r="F127" s="57"/>
      <c r="G127" s="57"/>
      <c r="H127" s="57"/>
      <c r="I127" s="57"/>
      <c r="J127" s="57"/>
      <c r="K127" s="57"/>
      <c r="L127" s="932"/>
      <c r="M127" s="932"/>
      <c r="N127" s="934"/>
      <c r="O127" s="934"/>
      <c r="P127" s="934"/>
      <c r="Q127" s="934"/>
      <c r="R127" s="934"/>
      <c r="S127" s="934"/>
      <c r="T127" s="934"/>
      <c r="U127" s="934"/>
      <c r="V127" s="934"/>
      <c r="W127" s="934"/>
      <c r="X127" s="934"/>
      <c r="Y127" s="934"/>
      <c r="Z127" s="934"/>
      <c r="AA127" s="934"/>
      <c r="AB127" s="931"/>
      <c r="AC127" s="931"/>
    </row>
    <row r="128" spans="1:29">
      <c r="A128" s="57"/>
      <c r="B128" s="57"/>
      <c r="C128" s="57"/>
      <c r="D128" s="57"/>
      <c r="E128" s="57"/>
      <c r="F128" s="57"/>
      <c r="G128" s="57"/>
      <c r="H128" s="57"/>
      <c r="I128" s="57"/>
      <c r="J128" s="57"/>
      <c r="K128" s="57"/>
      <c r="L128" s="932"/>
      <c r="M128" s="932"/>
      <c r="N128" s="934"/>
      <c r="O128" s="934"/>
      <c r="P128" s="934"/>
      <c r="Q128" s="934"/>
      <c r="R128" s="934"/>
      <c r="S128" s="934"/>
      <c r="T128" s="934"/>
      <c r="U128" s="934"/>
      <c r="V128" s="934"/>
      <c r="W128" s="934"/>
      <c r="X128" s="934"/>
      <c r="Y128" s="934"/>
      <c r="Z128" s="934"/>
      <c r="AA128" s="934"/>
      <c r="AB128" s="931"/>
      <c r="AC128" s="931"/>
    </row>
    <row r="129" spans="1:29">
      <c r="A129" s="57"/>
      <c r="B129" s="57"/>
      <c r="C129" s="57"/>
      <c r="D129" s="57"/>
      <c r="E129" s="57"/>
      <c r="F129" s="57"/>
      <c r="G129" s="57"/>
      <c r="H129" s="57"/>
      <c r="I129" s="57"/>
      <c r="J129" s="57"/>
      <c r="K129" s="57"/>
      <c r="L129" s="932"/>
      <c r="M129" s="932"/>
      <c r="N129" s="934"/>
      <c r="O129" s="934"/>
      <c r="P129" s="934"/>
      <c r="Q129" s="934"/>
      <c r="R129" s="934"/>
      <c r="S129" s="934"/>
      <c r="T129" s="934"/>
      <c r="U129" s="934"/>
      <c r="V129" s="934"/>
      <c r="W129" s="934"/>
      <c r="X129" s="934"/>
      <c r="Y129" s="934"/>
      <c r="Z129" s="934"/>
      <c r="AA129" s="934"/>
      <c r="AB129" s="931"/>
      <c r="AC129" s="931"/>
    </row>
    <row r="130" spans="1:29">
      <c r="A130" s="57"/>
      <c r="B130" s="57"/>
      <c r="C130" s="57"/>
      <c r="D130" s="57"/>
      <c r="E130" s="57"/>
      <c r="F130" s="57"/>
      <c r="G130" s="57"/>
      <c r="H130" s="57"/>
      <c r="I130" s="57"/>
      <c r="J130" s="57"/>
      <c r="K130" s="57"/>
      <c r="L130" s="932"/>
      <c r="M130" s="932"/>
      <c r="N130" s="934"/>
      <c r="O130" s="934"/>
      <c r="P130" s="934"/>
      <c r="Q130" s="934"/>
      <c r="R130" s="934"/>
      <c r="S130" s="934"/>
      <c r="T130" s="934"/>
      <c r="U130" s="934"/>
      <c r="V130" s="934"/>
      <c r="W130" s="934"/>
      <c r="X130" s="934"/>
      <c r="Y130" s="934"/>
      <c r="Z130" s="934"/>
      <c r="AA130" s="934"/>
      <c r="AB130" s="931"/>
      <c r="AC130" s="931"/>
    </row>
    <row r="131" spans="1:29">
      <c r="A131" s="57"/>
      <c r="B131" s="57"/>
      <c r="C131" s="57"/>
      <c r="D131" s="57"/>
      <c r="E131" s="57"/>
      <c r="F131" s="57"/>
      <c r="G131" s="57"/>
      <c r="H131" s="57"/>
      <c r="I131" s="57"/>
      <c r="J131" s="57"/>
      <c r="K131" s="57"/>
      <c r="L131" s="932"/>
      <c r="M131" s="932"/>
      <c r="N131" s="936"/>
      <c r="O131" s="936"/>
      <c r="P131" s="936"/>
      <c r="Q131" s="936"/>
      <c r="R131" s="936"/>
      <c r="S131" s="936"/>
      <c r="T131" s="936"/>
      <c r="U131" s="936"/>
      <c r="V131" s="936"/>
      <c r="W131" s="936"/>
      <c r="X131" s="936"/>
      <c r="Y131" s="936"/>
      <c r="Z131" s="936"/>
      <c r="AA131" s="936"/>
      <c r="AB131" s="931"/>
      <c r="AC131" s="931"/>
    </row>
    <row r="132" spans="1:29">
      <c r="A132" s="57"/>
      <c r="B132" s="57"/>
      <c r="C132" s="57"/>
      <c r="D132" s="57"/>
      <c r="E132" s="57"/>
      <c r="F132" s="57"/>
      <c r="G132" s="57"/>
      <c r="H132" s="57"/>
      <c r="I132" s="57"/>
      <c r="J132" s="57"/>
      <c r="K132" s="57"/>
      <c r="L132" s="932"/>
      <c r="M132" s="932"/>
      <c r="N132" s="937"/>
      <c r="O132" s="937"/>
      <c r="P132" s="937"/>
      <c r="Q132" s="937"/>
      <c r="R132" s="937"/>
      <c r="S132" s="937"/>
      <c r="T132" s="937"/>
      <c r="U132" s="937"/>
      <c r="V132" s="937"/>
      <c r="W132" s="937"/>
      <c r="X132" s="937"/>
      <c r="Y132" s="937"/>
      <c r="Z132" s="937"/>
      <c r="AA132" s="937"/>
      <c r="AB132" s="931"/>
      <c r="AC132" s="931"/>
    </row>
    <row r="133" spans="1:29">
      <c r="A133" s="9"/>
      <c r="B133" s="9"/>
      <c r="C133" s="9"/>
      <c r="D133" s="9"/>
      <c r="E133" s="9"/>
      <c r="F133" s="9"/>
      <c r="G133" s="9"/>
      <c r="H133" s="9"/>
      <c r="I133" s="9"/>
      <c r="J133" s="9"/>
      <c r="K133" s="9"/>
      <c r="L133" s="930"/>
      <c r="M133" s="930"/>
      <c r="N133" s="938"/>
      <c r="O133" s="930"/>
      <c r="P133" s="930"/>
      <c r="Q133" s="930"/>
      <c r="R133" s="930"/>
      <c r="S133" s="930"/>
      <c r="T133" s="930"/>
      <c r="U133" s="930"/>
      <c r="V133" s="930"/>
      <c r="W133" s="930"/>
      <c r="X133" s="930"/>
      <c r="Y133" s="930"/>
      <c r="Z133" s="930"/>
      <c r="AA133" s="931"/>
      <c r="AB133" s="931"/>
      <c r="AC133" s="931"/>
    </row>
    <row r="134" spans="1:29">
      <c r="A134" s="9"/>
      <c r="B134" s="9"/>
      <c r="C134" s="9"/>
      <c r="D134" s="9"/>
      <c r="E134" s="9"/>
      <c r="F134" s="9"/>
      <c r="G134" s="9"/>
      <c r="H134" s="9"/>
      <c r="I134" s="9"/>
      <c r="J134" s="9"/>
      <c r="K134" s="9"/>
      <c r="L134" s="930"/>
      <c r="M134" s="930"/>
      <c r="N134" s="930"/>
      <c r="O134" s="930"/>
      <c r="P134" s="930"/>
      <c r="Q134" s="930"/>
      <c r="R134" s="930"/>
      <c r="S134" s="930"/>
      <c r="T134" s="930"/>
      <c r="U134" s="930"/>
      <c r="V134" s="930"/>
      <c r="W134" s="930"/>
      <c r="X134" s="930"/>
      <c r="Y134" s="930"/>
      <c r="Z134" s="930"/>
      <c r="AA134" s="931"/>
      <c r="AB134" s="931"/>
      <c r="AC134" s="931"/>
    </row>
    <row r="135" spans="1:29">
      <c r="A135" s="9"/>
      <c r="B135" s="9"/>
      <c r="C135" s="9"/>
      <c r="D135" s="9"/>
      <c r="E135" s="9"/>
      <c r="F135" s="9"/>
      <c r="G135" s="9"/>
      <c r="H135" s="9"/>
      <c r="I135" s="9"/>
      <c r="J135" s="9"/>
      <c r="K135" s="9"/>
      <c r="L135" s="930"/>
      <c r="M135" s="930"/>
      <c r="N135" s="930"/>
      <c r="O135" s="930"/>
      <c r="P135" s="930"/>
      <c r="Q135" s="930"/>
      <c r="R135" s="930"/>
      <c r="S135" s="930"/>
      <c r="T135" s="930"/>
      <c r="U135" s="930"/>
      <c r="V135" s="930"/>
      <c r="W135" s="930"/>
      <c r="X135" s="930"/>
      <c r="Y135" s="930"/>
      <c r="Z135" s="930"/>
      <c r="AA135" s="931"/>
      <c r="AB135" s="931"/>
      <c r="AC135" s="931"/>
    </row>
    <row r="136" spans="1:29">
      <c r="A136" s="9"/>
      <c r="B136" s="9"/>
      <c r="C136" s="9"/>
      <c r="D136" s="9"/>
      <c r="E136" s="9"/>
      <c r="F136" s="9"/>
      <c r="G136" s="9"/>
      <c r="H136" s="9"/>
      <c r="I136" s="9"/>
      <c r="J136" s="9"/>
      <c r="K136" s="9"/>
      <c r="L136" s="9"/>
      <c r="M136" s="9"/>
      <c r="N136" s="9"/>
      <c r="O136" s="9"/>
      <c r="P136" s="9"/>
      <c r="Q136" s="39"/>
      <c r="R136" s="39"/>
      <c r="S136" s="9"/>
      <c r="T136" s="9"/>
      <c r="U136" s="9"/>
      <c r="V136" s="9"/>
      <c r="W136" s="9"/>
      <c r="X136" s="9"/>
      <c r="Y136" s="9"/>
      <c r="Z136" s="9"/>
    </row>
    <row r="137" spans="1:29">
      <c r="A137" s="9"/>
      <c r="B137" s="9"/>
      <c r="C137" s="9"/>
      <c r="D137" s="9"/>
      <c r="E137" s="9"/>
      <c r="F137" s="9"/>
      <c r="G137" s="9"/>
      <c r="H137" s="9"/>
      <c r="I137" s="9"/>
      <c r="J137" s="9"/>
      <c r="K137" s="9"/>
      <c r="L137" s="9"/>
      <c r="M137" s="9"/>
      <c r="N137" s="9"/>
      <c r="O137" s="9"/>
      <c r="P137" s="9"/>
      <c r="Q137" s="39"/>
      <c r="R137" s="39"/>
      <c r="S137" s="9"/>
      <c r="T137" s="9"/>
      <c r="U137" s="9"/>
      <c r="V137" s="9"/>
      <c r="W137" s="9"/>
      <c r="X137" s="9"/>
      <c r="Y137" s="9"/>
      <c r="Z137" s="9"/>
    </row>
    <row r="138" spans="1:29">
      <c r="A138" s="9"/>
      <c r="B138" s="9"/>
      <c r="C138" s="9"/>
      <c r="D138" s="9"/>
      <c r="E138" s="9"/>
      <c r="F138" s="9"/>
      <c r="G138" s="9"/>
      <c r="H138" s="9"/>
      <c r="I138" s="9"/>
      <c r="J138" s="9"/>
      <c r="K138" s="9"/>
      <c r="L138" s="9"/>
      <c r="M138" s="9"/>
      <c r="N138" s="9"/>
      <c r="O138" s="9"/>
      <c r="P138" s="9"/>
      <c r="Q138" s="39"/>
      <c r="R138" s="39"/>
      <c r="S138" s="9"/>
      <c r="T138" s="9"/>
      <c r="U138" s="9"/>
      <c r="V138" s="9"/>
      <c r="W138" s="9"/>
      <c r="X138" s="9"/>
      <c r="Y138" s="9"/>
      <c r="Z138" s="9"/>
    </row>
    <row r="139" spans="1:29">
      <c r="A139" s="9"/>
      <c r="B139" s="9"/>
      <c r="C139" s="9"/>
      <c r="D139" s="9"/>
      <c r="E139" s="9"/>
      <c r="F139" s="9"/>
      <c r="G139" s="9"/>
      <c r="H139" s="9"/>
      <c r="I139" s="9"/>
      <c r="J139" s="9"/>
      <c r="K139" s="9"/>
      <c r="L139" s="9"/>
      <c r="M139" s="9"/>
      <c r="N139" s="9"/>
      <c r="O139" s="9"/>
      <c r="P139" s="9"/>
      <c r="Q139" s="39"/>
      <c r="R139" s="39"/>
      <c r="S139" s="9"/>
      <c r="T139" s="9"/>
      <c r="U139" s="9"/>
      <c r="V139" s="9"/>
      <c r="W139" s="9"/>
      <c r="X139" s="9"/>
      <c r="Y139" s="9"/>
      <c r="Z139" s="9"/>
    </row>
    <row r="140" spans="1:29">
      <c r="A140" s="9"/>
      <c r="B140" s="9"/>
      <c r="C140" s="9"/>
      <c r="D140" s="9"/>
      <c r="E140" s="9"/>
      <c r="F140" s="9"/>
      <c r="G140" s="9"/>
      <c r="H140" s="9"/>
      <c r="I140" s="9"/>
      <c r="J140" s="9"/>
      <c r="K140" s="9"/>
      <c r="L140" s="9"/>
      <c r="M140" s="9"/>
      <c r="N140" s="9"/>
      <c r="O140" s="9"/>
      <c r="P140" s="9"/>
      <c r="Q140" s="39"/>
      <c r="R140" s="39"/>
      <c r="S140" s="9"/>
      <c r="T140" s="9"/>
      <c r="U140" s="9"/>
      <c r="V140" s="9"/>
      <c r="W140" s="9"/>
      <c r="X140" s="9"/>
      <c r="Y140" s="9"/>
      <c r="Z140" s="9"/>
    </row>
    <row r="141" spans="1:29">
      <c r="A141" s="9"/>
      <c r="B141" s="9"/>
      <c r="C141" s="9"/>
      <c r="D141" s="9"/>
      <c r="E141" s="9"/>
      <c r="F141" s="9"/>
      <c r="G141" s="9"/>
      <c r="H141" s="9"/>
      <c r="I141" s="9"/>
      <c r="J141" s="9"/>
      <c r="K141" s="9"/>
      <c r="L141" s="9"/>
      <c r="M141" s="9"/>
      <c r="N141" s="9"/>
      <c r="O141" s="9"/>
      <c r="P141" s="9"/>
      <c r="Q141" s="39"/>
      <c r="R141" s="39"/>
      <c r="S141" s="9"/>
      <c r="T141" s="9"/>
      <c r="U141" s="9"/>
      <c r="V141" s="9"/>
      <c r="W141" s="9"/>
      <c r="X141" s="9"/>
      <c r="Y141" s="9"/>
      <c r="Z141" s="9"/>
    </row>
    <row r="142" spans="1:29">
      <c r="A142" s="9"/>
      <c r="B142" s="9"/>
      <c r="C142" s="9"/>
      <c r="D142" s="9"/>
      <c r="E142" s="9"/>
      <c r="F142" s="9"/>
      <c r="G142" s="9"/>
      <c r="H142" s="9"/>
      <c r="I142" s="9"/>
      <c r="J142" s="9"/>
      <c r="K142" s="9"/>
      <c r="L142" s="9"/>
      <c r="M142" s="9"/>
      <c r="N142" s="9"/>
      <c r="O142" s="9"/>
      <c r="P142" s="9"/>
      <c r="Q142" s="39"/>
      <c r="R142" s="39"/>
      <c r="S142" s="9"/>
      <c r="T142" s="9"/>
      <c r="U142" s="9"/>
      <c r="V142" s="9"/>
      <c r="W142" s="9"/>
      <c r="X142" s="9"/>
      <c r="Y142" s="9"/>
      <c r="Z142" s="9"/>
    </row>
    <row r="143" spans="1:29">
      <c r="A143" s="9"/>
      <c r="B143" s="9"/>
      <c r="C143" s="9"/>
      <c r="D143" s="9"/>
      <c r="E143" s="9"/>
      <c r="F143" s="9"/>
      <c r="G143" s="9"/>
      <c r="H143" s="9"/>
      <c r="I143" s="9"/>
      <c r="J143" s="9"/>
      <c r="K143" s="9"/>
      <c r="L143" s="9"/>
      <c r="M143" s="9"/>
      <c r="N143" s="9"/>
      <c r="O143" s="9"/>
      <c r="P143" s="9"/>
      <c r="Q143" s="39"/>
      <c r="R143" s="39"/>
      <c r="S143" s="9"/>
      <c r="T143" s="9"/>
      <c r="U143" s="9"/>
      <c r="V143" s="9"/>
      <c r="W143" s="9"/>
      <c r="X143" s="9"/>
      <c r="Y143" s="9"/>
      <c r="Z143" s="9"/>
    </row>
    <row r="144" spans="1:29">
      <c r="A144" s="9"/>
      <c r="B144" s="9"/>
      <c r="C144" s="9"/>
      <c r="D144" s="9"/>
      <c r="E144" s="9"/>
      <c r="F144" s="9"/>
      <c r="G144" s="9"/>
      <c r="H144" s="9"/>
      <c r="I144" s="9"/>
      <c r="J144" s="9"/>
      <c r="K144" s="9"/>
      <c r="L144" s="9"/>
      <c r="M144" s="9"/>
      <c r="N144" s="9"/>
      <c r="O144" s="9"/>
      <c r="P144" s="9"/>
      <c r="Q144" s="39"/>
      <c r="R144" s="39"/>
      <c r="S144" s="9"/>
      <c r="T144" s="9"/>
      <c r="U144" s="9"/>
      <c r="V144" s="9"/>
      <c r="W144" s="9"/>
      <c r="X144" s="9"/>
      <c r="Y144" s="9"/>
      <c r="Z144" s="9"/>
    </row>
    <row r="145" spans="1:26">
      <c r="A145" s="9"/>
      <c r="B145" s="9"/>
      <c r="C145" s="9"/>
      <c r="D145" s="9"/>
      <c r="E145" s="9"/>
      <c r="F145" s="9"/>
      <c r="G145" s="9"/>
      <c r="H145" s="9"/>
      <c r="I145" s="9"/>
      <c r="J145" s="9"/>
      <c r="K145" s="9"/>
      <c r="L145" s="9"/>
      <c r="M145" s="9"/>
      <c r="N145" s="9"/>
      <c r="O145" s="9"/>
      <c r="P145" s="9"/>
      <c r="Q145" s="39"/>
      <c r="R145" s="39"/>
      <c r="S145" s="9"/>
      <c r="T145" s="9"/>
      <c r="U145" s="9"/>
      <c r="V145" s="9"/>
      <c r="W145" s="9"/>
      <c r="X145" s="9"/>
      <c r="Y145" s="9"/>
      <c r="Z145" s="9"/>
    </row>
    <row r="146" spans="1:26">
      <c r="A146" s="9"/>
      <c r="B146" s="9"/>
      <c r="C146" s="9"/>
      <c r="D146" s="9"/>
      <c r="E146" s="9"/>
      <c r="F146" s="9"/>
      <c r="G146" s="9"/>
      <c r="H146" s="9"/>
      <c r="I146" s="9"/>
      <c r="J146" s="9"/>
      <c r="K146" s="9"/>
      <c r="L146" s="9"/>
      <c r="M146" s="9"/>
      <c r="N146" s="9"/>
      <c r="O146" s="9"/>
      <c r="P146" s="9"/>
      <c r="Q146" s="39"/>
      <c r="R146" s="39"/>
      <c r="S146" s="9"/>
      <c r="T146" s="9"/>
      <c r="U146" s="9"/>
      <c r="V146" s="9"/>
      <c r="W146" s="9"/>
      <c r="X146" s="9"/>
      <c r="Y146" s="9"/>
      <c r="Z146" s="9"/>
    </row>
    <row r="147" spans="1:26">
      <c r="A147" s="9"/>
      <c r="B147" s="9"/>
      <c r="C147" s="9"/>
      <c r="D147" s="9"/>
      <c r="E147" s="9"/>
      <c r="F147" s="9"/>
      <c r="G147" s="9"/>
      <c r="H147" s="9"/>
      <c r="I147" s="9"/>
      <c r="J147" s="9"/>
      <c r="K147" s="9"/>
      <c r="L147" s="9"/>
      <c r="M147" s="9"/>
      <c r="N147" s="9"/>
      <c r="O147" s="9"/>
      <c r="P147" s="9"/>
      <c r="Q147" s="39"/>
      <c r="R147" s="39"/>
      <c r="S147" s="9"/>
      <c r="T147" s="9"/>
      <c r="U147" s="9"/>
      <c r="V147" s="9"/>
      <c r="W147" s="9"/>
      <c r="X147" s="9"/>
      <c r="Y147" s="9"/>
      <c r="Z147" s="9"/>
    </row>
    <row r="148" spans="1:26">
      <c r="A148" s="9"/>
      <c r="B148" s="9"/>
      <c r="C148" s="9"/>
      <c r="D148" s="9"/>
      <c r="E148" s="9"/>
      <c r="F148" s="9"/>
      <c r="G148" s="9"/>
      <c r="H148" s="9"/>
      <c r="I148" s="9"/>
      <c r="J148" s="9"/>
      <c r="K148" s="9"/>
      <c r="L148" s="9"/>
      <c r="M148" s="9"/>
      <c r="N148" s="9"/>
      <c r="O148" s="9"/>
      <c r="P148" s="9"/>
      <c r="Q148" s="39"/>
      <c r="R148" s="39"/>
      <c r="S148" s="9"/>
      <c r="T148" s="9"/>
      <c r="U148" s="9"/>
      <c r="V148" s="9"/>
      <c r="W148" s="9"/>
      <c r="X148" s="9"/>
      <c r="Y148" s="9"/>
      <c r="Z148" s="9"/>
    </row>
    <row r="149" spans="1:26">
      <c r="A149" s="9"/>
      <c r="B149" s="9"/>
      <c r="C149" s="9"/>
      <c r="D149" s="9"/>
      <c r="E149" s="9"/>
      <c r="F149" s="9"/>
      <c r="G149" s="9"/>
      <c r="H149" s="9"/>
      <c r="I149" s="9"/>
      <c r="J149" s="9"/>
      <c r="K149" s="9"/>
      <c r="L149" s="9"/>
      <c r="M149" s="9"/>
      <c r="N149" s="9"/>
      <c r="O149" s="9"/>
      <c r="P149" s="9"/>
      <c r="Q149" s="39"/>
      <c r="R149" s="39"/>
      <c r="S149" s="9"/>
      <c r="T149" s="9"/>
      <c r="U149" s="9"/>
      <c r="V149" s="9"/>
      <c r="W149" s="9"/>
      <c r="X149" s="9"/>
      <c r="Y149" s="9"/>
      <c r="Z149" s="9"/>
    </row>
    <row r="150" spans="1:26">
      <c r="A150" s="9"/>
      <c r="B150" s="9"/>
      <c r="C150" s="9"/>
      <c r="D150" s="9"/>
      <c r="E150" s="9"/>
      <c r="F150" s="9"/>
      <c r="G150" s="9"/>
      <c r="H150" s="9"/>
      <c r="I150" s="9"/>
      <c r="J150" s="9"/>
      <c r="K150" s="9"/>
      <c r="L150" s="9"/>
      <c r="M150" s="9"/>
      <c r="N150" s="9"/>
      <c r="O150" s="9"/>
      <c r="P150" s="9"/>
      <c r="Q150" s="39"/>
      <c r="R150" s="39"/>
      <c r="S150" s="9"/>
      <c r="T150" s="9"/>
      <c r="U150" s="9"/>
      <c r="V150" s="9"/>
      <c r="W150" s="9"/>
      <c r="X150" s="9"/>
      <c r="Y150" s="9"/>
      <c r="Z150" s="9"/>
    </row>
    <row r="151" spans="1:26">
      <c r="A151" s="9"/>
      <c r="B151" s="9"/>
      <c r="C151" s="9"/>
      <c r="D151" s="9"/>
      <c r="E151" s="9"/>
      <c r="F151" s="9"/>
      <c r="G151" s="9"/>
      <c r="H151" s="9"/>
      <c r="I151" s="9"/>
      <c r="J151" s="9"/>
      <c r="K151" s="9"/>
      <c r="L151" s="9"/>
      <c r="M151" s="9"/>
      <c r="N151" s="9"/>
      <c r="O151" s="9"/>
      <c r="P151" s="9"/>
      <c r="Q151" s="39"/>
      <c r="R151" s="39"/>
      <c r="S151" s="9"/>
      <c r="T151" s="9"/>
      <c r="U151" s="9"/>
      <c r="V151" s="9"/>
      <c r="W151" s="9"/>
      <c r="X151" s="9"/>
      <c r="Y151" s="9"/>
      <c r="Z151" s="9"/>
    </row>
    <row r="152" spans="1:26">
      <c r="A152" s="9"/>
      <c r="B152" s="9"/>
      <c r="C152" s="9"/>
      <c r="D152" s="9"/>
      <c r="E152" s="9"/>
      <c r="F152" s="9"/>
      <c r="G152" s="9"/>
      <c r="H152" s="9"/>
      <c r="I152" s="9"/>
      <c r="J152" s="9"/>
      <c r="K152" s="9"/>
      <c r="L152" s="9"/>
      <c r="M152" s="9"/>
      <c r="N152" s="9"/>
      <c r="O152" s="9"/>
      <c r="P152" s="9"/>
      <c r="Q152" s="39"/>
      <c r="R152" s="39"/>
      <c r="S152" s="9"/>
      <c r="T152" s="9"/>
      <c r="U152" s="9"/>
      <c r="V152" s="9"/>
      <c r="W152" s="9"/>
      <c r="X152" s="9"/>
      <c r="Y152" s="9"/>
      <c r="Z152" s="9"/>
    </row>
    <row r="153" spans="1:26">
      <c r="A153" s="9"/>
      <c r="B153" s="9"/>
      <c r="C153" s="9"/>
      <c r="D153" s="9"/>
      <c r="E153" s="9"/>
      <c r="F153" s="9"/>
      <c r="G153" s="9"/>
      <c r="H153" s="9"/>
      <c r="I153" s="9"/>
      <c r="J153" s="9"/>
      <c r="K153" s="9"/>
      <c r="L153" s="9"/>
      <c r="M153" s="9"/>
      <c r="N153" s="9"/>
      <c r="O153" s="9"/>
      <c r="P153" s="9"/>
      <c r="Q153" s="39"/>
      <c r="R153" s="39"/>
      <c r="S153" s="9"/>
      <c r="T153" s="9"/>
      <c r="U153" s="9"/>
      <c r="V153" s="9"/>
      <c r="W153" s="9"/>
      <c r="X153" s="9"/>
      <c r="Y153" s="9"/>
      <c r="Z153" s="9"/>
    </row>
    <row r="154" spans="1:26">
      <c r="A154" s="9"/>
      <c r="B154" s="9"/>
      <c r="C154" s="9"/>
      <c r="D154" s="9"/>
      <c r="E154" s="9"/>
      <c r="F154" s="9"/>
      <c r="G154" s="9"/>
      <c r="H154" s="9"/>
      <c r="I154" s="9"/>
      <c r="J154" s="9"/>
      <c r="K154" s="9"/>
      <c r="L154" s="9"/>
      <c r="M154" s="9"/>
      <c r="N154" s="9"/>
      <c r="O154" s="9"/>
      <c r="P154" s="9"/>
      <c r="Q154" s="39"/>
      <c r="R154" s="39"/>
      <c r="S154" s="9"/>
      <c r="T154" s="9"/>
      <c r="U154" s="9"/>
      <c r="V154" s="9"/>
      <c r="W154" s="9"/>
      <c r="X154" s="9"/>
      <c r="Y154" s="9"/>
      <c r="Z154" s="9"/>
    </row>
    <row r="155" spans="1:26">
      <c r="A155" s="9"/>
      <c r="B155" s="9"/>
      <c r="C155" s="9"/>
      <c r="D155" s="9"/>
      <c r="E155" s="9"/>
      <c r="F155" s="9"/>
      <c r="G155" s="9"/>
      <c r="H155" s="9"/>
      <c r="I155" s="9"/>
      <c r="J155" s="9"/>
      <c r="K155" s="9"/>
      <c r="L155" s="9"/>
      <c r="M155" s="9"/>
      <c r="N155" s="9"/>
      <c r="O155" s="9"/>
      <c r="P155" s="9"/>
      <c r="Q155" s="39"/>
      <c r="R155" s="39"/>
      <c r="S155" s="9"/>
      <c r="T155" s="9"/>
      <c r="U155" s="9"/>
      <c r="V155" s="9"/>
      <c r="W155" s="9"/>
      <c r="X155" s="9"/>
      <c r="Y155" s="9"/>
      <c r="Z155" s="9"/>
    </row>
    <row r="156" spans="1:26">
      <c r="A156" s="9"/>
      <c r="B156" s="9"/>
      <c r="C156" s="9"/>
      <c r="D156" s="9"/>
      <c r="E156" s="9"/>
      <c r="F156" s="9"/>
      <c r="G156" s="9"/>
      <c r="H156" s="9"/>
      <c r="I156" s="9"/>
      <c r="J156" s="9"/>
      <c r="K156" s="9"/>
      <c r="L156" s="9"/>
      <c r="M156" s="9"/>
      <c r="N156" s="9"/>
      <c r="O156" s="9"/>
      <c r="P156" s="9"/>
      <c r="Q156" s="39"/>
      <c r="R156" s="39"/>
      <c r="S156" s="9"/>
      <c r="T156" s="9"/>
      <c r="U156" s="9"/>
      <c r="V156" s="9"/>
      <c r="W156" s="9"/>
      <c r="X156" s="9"/>
      <c r="Y156" s="9"/>
      <c r="Z156" s="9"/>
    </row>
    <row r="157" spans="1:26">
      <c r="A157" s="9"/>
      <c r="B157" s="9"/>
      <c r="C157" s="9"/>
      <c r="D157" s="9"/>
      <c r="E157" s="9"/>
      <c r="F157" s="9"/>
      <c r="G157" s="9"/>
      <c r="H157" s="9"/>
      <c r="I157" s="9"/>
      <c r="J157" s="9"/>
      <c r="K157" s="9"/>
      <c r="L157" s="9"/>
      <c r="M157" s="9"/>
      <c r="N157" s="9"/>
      <c r="O157" s="9"/>
      <c r="P157" s="9"/>
      <c r="Q157" s="39"/>
      <c r="R157" s="39"/>
      <c r="S157" s="9"/>
      <c r="T157" s="9"/>
      <c r="U157" s="9"/>
      <c r="V157" s="9"/>
      <c r="W157" s="9"/>
      <c r="X157" s="9"/>
      <c r="Y157" s="9"/>
      <c r="Z157" s="9"/>
    </row>
    <row r="158" spans="1:26">
      <c r="A158" s="9"/>
      <c r="B158" s="9"/>
      <c r="C158" s="9"/>
      <c r="D158" s="9"/>
      <c r="E158" s="9"/>
      <c r="F158" s="9"/>
      <c r="G158" s="9"/>
      <c r="H158" s="9"/>
      <c r="I158" s="9"/>
      <c r="J158" s="9"/>
      <c r="K158" s="9"/>
      <c r="L158" s="9"/>
      <c r="M158" s="9"/>
      <c r="N158" s="9"/>
      <c r="O158" s="9"/>
      <c r="P158" s="9"/>
      <c r="Q158" s="39"/>
      <c r="R158" s="39"/>
      <c r="S158" s="9"/>
      <c r="T158" s="9"/>
      <c r="U158" s="9"/>
      <c r="V158" s="9"/>
      <c r="W158" s="9"/>
      <c r="X158" s="9"/>
      <c r="Y158" s="9"/>
      <c r="Z158" s="9"/>
    </row>
    <row r="159" spans="1:26">
      <c r="A159" s="9"/>
      <c r="B159" s="9"/>
      <c r="C159" s="9"/>
      <c r="D159" s="9"/>
      <c r="E159" s="9"/>
      <c r="F159" s="9"/>
      <c r="G159" s="9"/>
      <c r="H159" s="9"/>
      <c r="I159" s="9"/>
      <c r="J159" s="9"/>
      <c r="K159" s="9"/>
      <c r="L159" s="9"/>
      <c r="M159" s="9"/>
      <c r="N159" s="9"/>
      <c r="O159" s="9"/>
      <c r="P159" s="9"/>
      <c r="Q159" s="39"/>
      <c r="R159" s="39"/>
      <c r="S159" s="9"/>
      <c r="T159" s="9"/>
      <c r="U159" s="9"/>
      <c r="V159" s="9"/>
      <c r="W159" s="9"/>
      <c r="X159" s="9"/>
      <c r="Y159" s="9"/>
      <c r="Z159" s="9"/>
    </row>
    <row r="160" spans="1:26">
      <c r="A160" s="9"/>
      <c r="B160" s="9"/>
      <c r="C160" s="9"/>
      <c r="D160" s="9"/>
      <c r="E160" s="9"/>
      <c r="F160" s="9"/>
      <c r="G160" s="9"/>
      <c r="H160" s="9"/>
      <c r="I160" s="9"/>
      <c r="J160" s="9"/>
      <c r="K160" s="9"/>
      <c r="L160" s="9"/>
      <c r="M160" s="9"/>
      <c r="N160" s="9"/>
      <c r="O160" s="9"/>
      <c r="P160" s="9"/>
      <c r="Q160" s="39"/>
      <c r="R160" s="39"/>
      <c r="S160" s="9"/>
      <c r="T160" s="9"/>
      <c r="U160" s="9"/>
      <c r="V160" s="9"/>
      <c r="W160" s="9"/>
      <c r="X160" s="9"/>
      <c r="Y160" s="9"/>
      <c r="Z160" s="9"/>
    </row>
    <row r="161" spans="1:27">
      <c r="A161" s="9"/>
      <c r="B161" s="9"/>
      <c r="C161" s="9"/>
      <c r="D161" s="9"/>
      <c r="E161" s="9"/>
      <c r="F161" s="9"/>
      <c r="G161" s="9"/>
      <c r="H161" s="9"/>
      <c r="I161" s="9"/>
      <c r="J161" s="9"/>
      <c r="K161" s="9"/>
      <c r="L161" s="9"/>
      <c r="M161" s="9"/>
      <c r="N161" s="9"/>
      <c r="O161" s="9"/>
      <c r="P161" s="9"/>
      <c r="Q161" s="39"/>
      <c r="R161" s="39"/>
      <c r="S161" s="9"/>
      <c r="T161" s="9"/>
      <c r="U161" s="9"/>
      <c r="V161" s="9"/>
      <c r="W161" s="9"/>
      <c r="X161" s="9"/>
      <c r="Y161" s="9"/>
      <c r="Z161" s="9"/>
    </row>
    <row r="162" spans="1:27">
      <c r="A162" s="9"/>
      <c r="B162" s="9"/>
      <c r="C162" s="9"/>
      <c r="D162" s="9"/>
      <c r="E162" s="9"/>
      <c r="F162" s="9"/>
      <c r="G162" s="9"/>
      <c r="H162" s="9"/>
      <c r="I162" s="9"/>
      <c r="J162" s="9"/>
      <c r="K162" s="9"/>
      <c r="L162" s="9"/>
      <c r="M162" s="9"/>
      <c r="N162" s="9"/>
      <c r="O162" s="9"/>
      <c r="P162" s="9"/>
      <c r="Q162" s="39"/>
      <c r="R162" s="39"/>
      <c r="S162" s="9"/>
      <c r="T162" s="9"/>
      <c r="U162" s="9"/>
      <c r="V162" s="9"/>
      <c r="W162" s="9"/>
      <c r="X162" s="9"/>
      <c r="Y162" s="9"/>
      <c r="Z162" s="9"/>
    </row>
    <row r="163" spans="1:27">
      <c r="A163" s="9"/>
      <c r="B163" s="9"/>
      <c r="C163" s="9"/>
      <c r="D163" s="9"/>
      <c r="E163" s="9"/>
      <c r="F163" s="9"/>
      <c r="G163" s="9"/>
      <c r="H163" s="9"/>
      <c r="I163" s="9"/>
      <c r="J163" s="9"/>
      <c r="K163" s="9"/>
      <c r="L163" s="9"/>
      <c r="M163" s="9"/>
      <c r="N163" s="9"/>
      <c r="O163" s="9"/>
      <c r="P163" s="9"/>
      <c r="Q163" s="39"/>
      <c r="R163" s="39"/>
      <c r="S163" s="9"/>
      <c r="T163" s="9"/>
      <c r="U163" s="9"/>
      <c r="V163" s="9"/>
      <c r="W163" s="9"/>
      <c r="X163" s="9"/>
      <c r="Y163" s="9"/>
      <c r="Z163" s="9"/>
    </row>
    <row r="164" spans="1:27">
      <c r="A164" s="9"/>
      <c r="B164" s="9"/>
      <c r="C164" s="9"/>
      <c r="D164" s="9"/>
      <c r="E164" s="9"/>
      <c r="F164" s="9"/>
      <c r="G164" s="9"/>
      <c r="H164" s="9"/>
      <c r="I164" s="9"/>
      <c r="J164" s="9"/>
      <c r="K164" s="9"/>
      <c r="L164" s="9"/>
      <c r="M164" s="9"/>
      <c r="N164" s="9"/>
      <c r="O164" s="9"/>
      <c r="P164" s="9"/>
      <c r="Q164" s="39"/>
      <c r="R164" s="39"/>
      <c r="S164" s="9"/>
      <c r="T164" s="9"/>
      <c r="U164" s="9"/>
      <c r="V164" s="9"/>
      <c r="W164" s="9"/>
      <c r="X164" s="9"/>
      <c r="Y164" s="9"/>
      <c r="Z164" s="9"/>
    </row>
    <row r="165" spans="1:27">
      <c r="A165" s="9"/>
      <c r="B165" s="9"/>
      <c r="C165" s="9"/>
      <c r="D165" s="9"/>
      <c r="E165" s="9"/>
      <c r="F165" s="9"/>
      <c r="G165" s="9"/>
      <c r="H165" s="9"/>
      <c r="I165" s="9"/>
      <c r="J165" s="9"/>
      <c r="K165" s="9"/>
      <c r="L165" s="9"/>
      <c r="M165" s="9"/>
      <c r="N165" s="9"/>
      <c r="O165" s="9"/>
      <c r="P165" s="9"/>
      <c r="Q165" s="39"/>
      <c r="R165" s="39"/>
      <c r="S165" s="9"/>
      <c r="T165" s="9"/>
      <c r="U165" s="9"/>
      <c r="V165" s="9"/>
      <c r="W165" s="9"/>
      <c r="X165" s="9"/>
      <c r="Y165" s="9"/>
      <c r="Z165" s="9"/>
    </row>
    <row r="166" spans="1:27">
      <c r="A166" s="9"/>
      <c r="B166" s="9"/>
      <c r="C166" s="9"/>
      <c r="D166" s="9"/>
      <c r="E166" s="9"/>
      <c r="F166" s="9"/>
      <c r="G166" s="9"/>
      <c r="H166" s="9"/>
      <c r="I166" s="9"/>
      <c r="J166" s="9"/>
      <c r="K166" s="9"/>
      <c r="L166" s="9"/>
      <c r="M166" s="9"/>
      <c r="N166" s="9"/>
      <c r="O166" s="9"/>
      <c r="P166" s="9"/>
      <c r="Q166" s="39"/>
      <c r="R166" s="39"/>
      <c r="S166" s="9"/>
      <c r="T166" s="9"/>
      <c r="U166" s="9"/>
      <c r="V166" s="9"/>
      <c r="W166" s="9"/>
      <c r="X166" s="9"/>
      <c r="Y166" s="9"/>
      <c r="Z166" s="9"/>
    </row>
    <row r="167" spans="1:27">
      <c r="A167" s="9"/>
      <c r="B167" s="9"/>
      <c r="C167" s="9"/>
      <c r="D167" s="9"/>
      <c r="E167" s="9"/>
      <c r="F167" s="9"/>
      <c r="G167" s="9"/>
      <c r="H167" s="9"/>
      <c r="I167" s="9"/>
      <c r="J167" s="9"/>
      <c r="K167" s="9"/>
      <c r="L167" s="9"/>
      <c r="M167" s="9"/>
      <c r="N167" s="9"/>
      <c r="O167" s="9"/>
      <c r="P167" s="9"/>
      <c r="Q167" s="39"/>
      <c r="R167" s="39"/>
      <c r="S167" s="9"/>
      <c r="T167" s="9"/>
      <c r="U167" s="9"/>
      <c r="V167" s="9"/>
      <c r="W167" s="9"/>
      <c r="X167" s="9"/>
      <c r="Y167" s="9"/>
      <c r="Z167" s="9"/>
    </row>
    <row r="168" spans="1:27">
      <c r="A168" s="9"/>
      <c r="B168" s="9"/>
      <c r="C168" s="9"/>
      <c r="D168" s="9"/>
      <c r="E168" s="9"/>
      <c r="F168" s="9"/>
      <c r="G168" s="9"/>
      <c r="H168" s="9"/>
      <c r="I168" s="9"/>
      <c r="J168" s="9"/>
      <c r="K168" s="9"/>
      <c r="L168" s="9"/>
      <c r="M168" s="9"/>
      <c r="N168" s="9"/>
      <c r="O168" s="9"/>
      <c r="P168" s="9"/>
      <c r="Q168" s="39"/>
      <c r="R168" s="39"/>
      <c r="S168" s="9"/>
      <c r="T168" s="9"/>
      <c r="U168" s="9"/>
      <c r="V168" s="9"/>
      <c r="W168" s="9"/>
      <c r="X168" s="9"/>
      <c r="Y168" s="9"/>
      <c r="Z168" s="9"/>
    </row>
    <row r="169" spans="1:27">
      <c r="A169" s="9"/>
      <c r="B169" s="9"/>
      <c r="C169" s="9"/>
      <c r="D169" s="9"/>
      <c r="E169" s="9"/>
      <c r="F169" s="9"/>
      <c r="G169" s="9"/>
      <c r="H169" s="9"/>
      <c r="I169" s="9"/>
      <c r="J169" s="9"/>
      <c r="K169" s="9"/>
      <c r="L169" s="9"/>
      <c r="M169" s="9"/>
      <c r="N169" s="9"/>
      <c r="O169" s="9"/>
      <c r="P169" s="9"/>
      <c r="Q169" s="39"/>
      <c r="R169" s="39"/>
      <c r="S169" s="9"/>
      <c r="T169" s="9"/>
      <c r="U169" s="9"/>
      <c r="V169" s="9"/>
      <c r="W169" s="9"/>
      <c r="X169" s="9"/>
      <c r="Y169" s="9"/>
      <c r="Z169" s="9"/>
    </row>
    <row r="170" spans="1:27">
      <c r="A170" s="9"/>
      <c r="B170" s="9"/>
      <c r="C170" s="9"/>
      <c r="D170" s="9"/>
      <c r="E170" s="9"/>
      <c r="F170" s="9"/>
      <c r="G170" s="9"/>
      <c r="H170" s="9"/>
      <c r="I170" s="9"/>
      <c r="J170" s="9"/>
      <c r="K170" s="9"/>
      <c r="L170" s="9"/>
      <c r="M170" s="99" t="s">
        <v>54</v>
      </c>
      <c r="N170" s="9"/>
      <c r="O170" s="9"/>
      <c r="P170" s="9"/>
      <c r="Q170" s="39"/>
      <c r="R170" s="39"/>
      <c r="S170" s="9"/>
      <c r="T170" s="9"/>
      <c r="U170" s="9"/>
      <c r="V170" s="9"/>
      <c r="W170" s="9"/>
      <c r="X170" s="9"/>
      <c r="Y170" s="9"/>
      <c r="Z170" s="9"/>
    </row>
    <row r="171" spans="1:27">
      <c r="A171" s="9"/>
      <c r="B171" s="9"/>
      <c r="C171" s="9"/>
      <c r="D171" s="9"/>
      <c r="E171" s="9"/>
      <c r="F171" s="9"/>
      <c r="G171" s="9"/>
      <c r="H171" s="9"/>
      <c r="I171" s="9"/>
      <c r="J171" s="9"/>
      <c r="K171" s="9"/>
      <c r="L171" s="9"/>
      <c r="M171" s="94" t="s">
        <v>53</v>
      </c>
      <c r="N171" s="96">
        <v>2008</v>
      </c>
      <c r="O171" s="96">
        <v>2009</v>
      </c>
      <c r="P171" s="96">
        <v>2010</v>
      </c>
      <c r="Q171" s="96">
        <v>2011</v>
      </c>
      <c r="R171" s="96">
        <v>2012</v>
      </c>
      <c r="S171" s="96">
        <v>2013</v>
      </c>
      <c r="T171" s="96">
        <v>2014</v>
      </c>
      <c r="U171" s="96">
        <v>2015</v>
      </c>
      <c r="V171" s="96">
        <v>2016</v>
      </c>
      <c r="W171" s="96">
        <v>2017</v>
      </c>
      <c r="X171" s="96">
        <v>2018</v>
      </c>
      <c r="Y171" s="96">
        <v>2019</v>
      </c>
      <c r="Z171" s="105">
        <v>2020</v>
      </c>
      <c r="AA171" s="105">
        <v>2021</v>
      </c>
    </row>
    <row r="172" spans="1:27">
      <c r="A172" s="9"/>
      <c r="B172" s="9"/>
      <c r="C172" s="9"/>
      <c r="D172" s="9"/>
      <c r="E172" s="9"/>
      <c r="F172" s="9"/>
      <c r="G172" s="9"/>
      <c r="H172" s="9"/>
      <c r="I172" s="9"/>
      <c r="J172" s="9"/>
      <c r="K172" s="9"/>
      <c r="L172" s="9"/>
      <c r="M172" s="99" t="s">
        <v>36</v>
      </c>
      <c r="N172" s="106">
        <v>9862</v>
      </c>
      <c r="O172" s="106">
        <v>9862</v>
      </c>
      <c r="P172" s="106">
        <v>8592</v>
      </c>
      <c r="Q172" s="106">
        <v>7918</v>
      </c>
      <c r="R172" s="106">
        <v>7393</v>
      </c>
      <c r="S172" s="106">
        <v>7764</v>
      </c>
      <c r="T172" s="106">
        <v>7750</v>
      </c>
      <c r="U172" s="106">
        <v>8336</v>
      </c>
      <c r="V172" s="106">
        <v>8673</v>
      </c>
      <c r="W172" s="106">
        <v>8933</v>
      </c>
      <c r="X172" s="106">
        <v>7950</v>
      </c>
      <c r="Y172" s="106">
        <v>5766</v>
      </c>
      <c r="Z172" s="107">
        <v>5303</v>
      </c>
      <c r="AA172" s="107"/>
    </row>
    <row r="173" spans="1:27">
      <c r="A173" s="9"/>
      <c r="B173" s="9"/>
      <c r="C173" s="9"/>
      <c r="D173" s="9"/>
      <c r="E173" s="9"/>
      <c r="F173" s="9"/>
      <c r="G173" s="9"/>
      <c r="H173" s="9"/>
      <c r="I173" s="9"/>
      <c r="J173" s="9"/>
      <c r="K173" s="9"/>
      <c r="L173" s="9"/>
      <c r="M173" s="99" t="s">
        <v>38</v>
      </c>
      <c r="N173" s="106">
        <v>2122</v>
      </c>
      <c r="O173" s="106">
        <v>2122</v>
      </c>
      <c r="P173" s="106">
        <v>2152</v>
      </c>
      <c r="Q173" s="106">
        <v>2121</v>
      </c>
      <c r="R173" s="106">
        <v>2446</v>
      </c>
      <c r="S173" s="106">
        <v>2661</v>
      </c>
      <c r="T173" s="106">
        <v>2291</v>
      </c>
      <c r="U173" s="106">
        <v>2250</v>
      </c>
      <c r="V173" s="106">
        <v>2119</v>
      </c>
      <c r="W173" s="106">
        <v>2002</v>
      </c>
      <c r="X173" s="106">
        <v>2019</v>
      </c>
      <c r="Y173" s="106">
        <v>1880</v>
      </c>
      <c r="Z173" s="107">
        <v>1458</v>
      </c>
      <c r="AA173" s="107"/>
    </row>
    <row r="174" spans="1:27">
      <c r="A174" s="9"/>
      <c r="B174" s="9"/>
      <c r="C174" s="9"/>
      <c r="D174" s="9"/>
      <c r="E174" s="9"/>
      <c r="F174" s="9"/>
      <c r="G174" s="9"/>
      <c r="H174" s="9"/>
      <c r="I174" s="9"/>
      <c r="J174" s="9"/>
      <c r="K174" s="9"/>
      <c r="L174" s="9"/>
      <c r="M174" s="99" t="s">
        <v>42</v>
      </c>
      <c r="N174" s="108">
        <v>358</v>
      </c>
      <c r="O174" s="108">
        <v>358</v>
      </c>
      <c r="P174" s="108">
        <v>340</v>
      </c>
      <c r="Q174" s="108">
        <v>271</v>
      </c>
      <c r="R174" s="108">
        <v>223</v>
      </c>
      <c r="S174" s="108">
        <v>299</v>
      </c>
      <c r="T174" s="108">
        <v>253</v>
      </c>
      <c r="U174" s="108">
        <v>234</v>
      </c>
      <c r="V174" s="108">
        <v>207</v>
      </c>
      <c r="W174" s="108">
        <v>178</v>
      </c>
      <c r="X174" s="108">
        <v>160</v>
      </c>
      <c r="Y174" s="108">
        <v>128</v>
      </c>
      <c r="Z174" s="109">
        <v>109</v>
      </c>
      <c r="AA174" s="109"/>
    </row>
    <row r="175" spans="1:27">
      <c r="A175" s="9"/>
      <c r="B175" s="9"/>
      <c r="C175" s="9"/>
      <c r="D175" s="9"/>
      <c r="E175" s="9"/>
      <c r="F175" s="9"/>
      <c r="G175" s="9"/>
      <c r="H175" s="9"/>
      <c r="I175" s="9"/>
      <c r="J175" s="9"/>
      <c r="K175" s="9"/>
      <c r="L175" s="9"/>
      <c r="M175" s="99" t="s">
        <v>43</v>
      </c>
      <c r="N175" s="108">
        <v>416</v>
      </c>
      <c r="O175" s="108">
        <v>416</v>
      </c>
      <c r="P175" s="108">
        <v>303</v>
      </c>
      <c r="Q175" s="108">
        <v>362</v>
      </c>
      <c r="R175" s="108">
        <v>421</v>
      </c>
      <c r="S175" s="108">
        <v>476</v>
      </c>
      <c r="T175" s="108">
        <v>384</v>
      </c>
      <c r="U175" s="108">
        <v>375</v>
      </c>
      <c r="V175" s="108">
        <v>387</v>
      </c>
      <c r="W175" s="108">
        <v>339</v>
      </c>
      <c r="X175" s="108">
        <v>376</v>
      </c>
      <c r="Y175" s="108">
        <v>443</v>
      </c>
      <c r="Z175" s="109">
        <v>370</v>
      </c>
      <c r="AA175" s="109"/>
    </row>
    <row r="176" spans="1:27">
      <c r="A176" s="9"/>
      <c r="B176" s="9"/>
      <c r="C176" s="9"/>
      <c r="D176" s="9"/>
      <c r="E176" s="9"/>
      <c r="F176" s="9"/>
      <c r="G176" s="9"/>
      <c r="H176" s="9"/>
      <c r="I176" s="9"/>
      <c r="J176" s="9"/>
      <c r="K176" s="9"/>
      <c r="L176" s="9"/>
      <c r="M176" s="99" t="s">
        <v>44</v>
      </c>
      <c r="N176" s="108">
        <v>2937</v>
      </c>
      <c r="O176" s="108">
        <v>2937</v>
      </c>
      <c r="P176" s="108">
        <v>1875</v>
      </c>
      <c r="Q176" s="108">
        <v>1460</v>
      </c>
      <c r="R176" s="108">
        <v>1440</v>
      </c>
      <c r="S176" s="108">
        <v>1305</v>
      </c>
      <c r="T176" s="108">
        <v>1146</v>
      </c>
      <c r="U176" s="108">
        <v>1269</v>
      </c>
      <c r="V176" s="108">
        <v>1480</v>
      </c>
      <c r="W176" s="108">
        <v>1167</v>
      </c>
      <c r="X176" s="108">
        <v>1090</v>
      </c>
      <c r="Y176" s="108">
        <v>1010</v>
      </c>
      <c r="Z176" s="109">
        <v>864</v>
      </c>
      <c r="AA176" s="109"/>
    </row>
    <row r="177" spans="1:27">
      <c r="A177" s="9"/>
      <c r="B177" s="9"/>
      <c r="C177" s="9"/>
      <c r="D177" s="9"/>
      <c r="E177" s="9"/>
      <c r="F177" s="9"/>
      <c r="G177" s="9"/>
      <c r="H177" s="9"/>
      <c r="I177" s="9"/>
      <c r="J177" s="9"/>
      <c r="K177" s="9"/>
      <c r="L177" s="9"/>
      <c r="M177" s="99" t="s">
        <v>50</v>
      </c>
      <c r="N177" s="108">
        <v>15695</v>
      </c>
      <c r="O177" s="108">
        <v>13262</v>
      </c>
      <c r="P177" s="108">
        <v>12132</v>
      </c>
      <c r="Q177" s="108">
        <v>11923</v>
      </c>
      <c r="R177" s="108">
        <v>12505</v>
      </c>
      <c r="S177" s="108">
        <v>11824</v>
      </c>
      <c r="T177" s="108">
        <v>12464</v>
      </c>
      <c r="U177" s="108">
        <v>12866</v>
      </c>
      <c r="V177" s="108">
        <v>12619</v>
      </c>
      <c r="W177" s="108">
        <v>11595</v>
      </c>
      <c r="X177" s="108">
        <v>10527</v>
      </c>
      <c r="Y177" s="108">
        <v>9042</v>
      </c>
      <c r="Z177" s="109">
        <f>SUM(Z172:Z176)</f>
        <v>8104</v>
      </c>
      <c r="AA177" s="109">
        <f>SUM(AA172:AA176)</f>
        <v>0</v>
      </c>
    </row>
    <row r="178" spans="1:27">
      <c r="A178" s="9"/>
      <c r="B178" s="9"/>
      <c r="C178" s="9"/>
      <c r="D178" s="9"/>
      <c r="E178" s="9"/>
      <c r="F178" s="9"/>
      <c r="G178" s="9"/>
      <c r="H178" s="9"/>
      <c r="I178" s="9"/>
      <c r="J178" s="9"/>
      <c r="K178" s="9"/>
      <c r="L178" s="9"/>
      <c r="M178" s="99" t="s">
        <v>51</v>
      </c>
      <c r="N178" s="108">
        <v>2426</v>
      </c>
      <c r="O178" s="108">
        <v>2426</v>
      </c>
      <c r="P178" s="108">
        <v>1993</v>
      </c>
      <c r="Q178" s="108">
        <v>1775</v>
      </c>
      <c r="R178" s="108">
        <v>1816</v>
      </c>
      <c r="S178" s="108">
        <v>1746</v>
      </c>
      <c r="T178" s="108">
        <v>1505</v>
      </c>
      <c r="U178" s="108">
        <v>1600</v>
      </c>
      <c r="V178" s="108">
        <v>1590</v>
      </c>
      <c r="W178" s="108">
        <v>1396</v>
      </c>
      <c r="X178" s="108">
        <v>1441</v>
      </c>
      <c r="Y178" s="108">
        <v>1329</v>
      </c>
      <c r="Z178" s="109">
        <v>1334</v>
      </c>
      <c r="AA178" s="109"/>
    </row>
    <row r="179" spans="1:27">
      <c r="A179" s="9"/>
      <c r="B179" s="9"/>
      <c r="C179" s="9"/>
      <c r="D179" s="9"/>
      <c r="E179" s="9"/>
      <c r="F179" s="9"/>
      <c r="G179" s="9"/>
      <c r="H179" s="9"/>
      <c r="I179" s="9"/>
      <c r="J179" s="9"/>
      <c r="K179" s="9"/>
      <c r="L179" s="9"/>
      <c r="M179" s="99" t="s">
        <v>52</v>
      </c>
      <c r="N179" s="101">
        <v>18121</v>
      </c>
      <c r="O179" s="101">
        <v>15255</v>
      </c>
      <c r="P179" s="101">
        <v>13907</v>
      </c>
      <c r="Q179" s="101">
        <v>13739</v>
      </c>
      <c r="R179" s="101">
        <v>14251</v>
      </c>
      <c r="S179" s="101">
        <v>13329</v>
      </c>
      <c r="T179" s="101">
        <v>14064</v>
      </c>
      <c r="U179" s="101">
        <v>14456</v>
      </c>
      <c r="V179" s="101">
        <v>14012</v>
      </c>
      <c r="W179" s="101">
        <v>13036</v>
      </c>
      <c r="X179" s="108">
        <f>SUM(X177:X178)</f>
        <v>11968</v>
      </c>
      <c r="Y179" s="108">
        <f>SUM(Y177:Y178)</f>
        <v>10371</v>
      </c>
      <c r="Z179" s="109">
        <f>SUM(Z177:Z178)</f>
        <v>9438</v>
      </c>
      <c r="AA179" s="109">
        <f>SUM(AA177:AA178)</f>
        <v>0</v>
      </c>
    </row>
    <row r="180" spans="1:27">
      <c r="A180" s="9"/>
      <c r="B180" s="9"/>
      <c r="C180" s="9"/>
      <c r="D180" s="9"/>
      <c r="E180" s="9"/>
      <c r="F180" s="9"/>
      <c r="G180" s="9"/>
      <c r="H180" s="9"/>
      <c r="I180" s="9"/>
      <c r="J180" s="9"/>
      <c r="K180" s="9"/>
      <c r="L180" s="9"/>
      <c r="M180" s="9"/>
      <c r="N180" s="91"/>
      <c r="O180" s="91"/>
      <c r="P180" s="110"/>
      <c r="Q180" s="110"/>
      <c r="R180" s="91"/>
      <c r="S180" s="91"/>
      <c r="T180" s="91"/>
      <c r="U180" s="91"/>
      <c r="V180" s="91"/>
      <c r="W180" s="91"/>
      <c r="X180" s="91"/>
      <c r="Y180" s="91"/>
      <c r="Z180" s="91"/>
      <c r="AA180" s="91"/>
    </row>
    <row r="181" spans="1:27">
      <c r="A181" s="9"/>
      <c r="B181" s="9"/>
      <c r="C181" s="9"/>
      <c r="D181" s="9"/>
      <c r="E181" s="9"/>
      <c r="F181" s="9"/>
      <c r="G181" s="9"/>
      <c r="H181" s="9"/>
      <c r="I181" s="9"/>
      <c r="J181" s="9"/>
      <c r="K181" s="9"/>
      <c r="L181" s="9"/>
      <c r="M181" s="99" t="s">
        <v>53</v>
      </c>
      <c r="N181" s="111">
        <v>2008</v>
      </c>
      <c r="O181" s="111">
        <v>2009</v>
      </c>
      <c r="P181" s="111">
        <v>2010</v>
      </c>
      <c r="Q181" s="111">
        <v>2011</v>
      </c>
      <c r="R181" s="111">
        <v>2012</v>
      </c>
      <c r="S181" s="111">
        <v>2013</v>
      </c>
      <c r="T181" s="111">
        <v>2014</v>
      </c>
      <c r="U181" s="111">
        <v>2015</v>
      </c>
      <c r="V181" s="111">
        <v>2016</v>
      </c>
      <c r="W181" s="111">
        <v>2017</v>
      </c>
      <c r="X181" s="111">
        <v>2018</v>
      </c>
      <c r="Y181" s="111">
        <v>2019</v>
      </c>
      <c r="Z181" s="105">
        <v>2020</v>
      </c>
      <c r="AA181" s="105">
        <v>2021</v>
      </c>
    </row>
    <row r="182" spans="1:27">
      <c r="A182" s="9"/>
      <c r="B182" s="9"/>
      <c r="C182" s="9"/>
      <c r="D182" s="9"/>
      <c r="E182" s="9"/>
      <c r="F182" s="9"/>
      <c r="G182" s="9"/>
      <c r="H182" s="9"/>
      <c r="I182" s="9"/>
      <c r="J182" s="9"/>
      <c r="K182" s="9"/>
      <c r="L182" s="9"/>
      <c r="M182" s="99" t="s">
        <v>36</v>
      </c>
      <c r="N182" s="101">
        <v>9862</v>
      </c>
      <c r="O182" s="112">
        <v>9862</v>
      </c>
      <c r="P182" s="112">
        <v>8592</v>
      </c>
      <c r="Q182" s="112">
        <v>7918</v>
      </c>
      <c r="R182" s="112">
        <v>7393</v>
      </c>
      <c r="S182" s="112">
        <v>7764</v>
      </c>
      <c r="T182" s="112">
        <v>7750</v>
      </c>
      <c r="U182" s="112">
        <v>8336</v>
      </c>
      <c r="V182" s="112">
        <v>8933</v>
      </c>
      <c r="W182" s="112">
        <v>7950</v>
      </c>
      <c r="X182" s="112">
        <v>7024</v>
      </c>
      <c r="Y182" s="112">
        <v>5733</v>
      </c>
      <c r="Z182" s="113">
        <v>5303</v>
      </c>
      <c r="AA182" s="113"/>
    </row>
    <row r="183" spans="1:27">
      <c r="A183" s="9"/>
      <c r="B183" s="9"/>
      <c r="C183" s="9"/>
      <c r="D183" s="9"/>
      <c r="E183" s="9"/>
      <c r="F183" s="9"/>
      <c r="G183" s="9"/>
      <c r="H183" s="9"/>
      <c r="I183" s="9"/>
      <c r="J183" s="9"/>
      <c r="K183" s="9"/>
      <c r="L183" s="9"/>
      <c r="M183" s="99" t="s">
        <v>38</v>
      </c>
      <c r="N183" s="101">
        <v>2122</v>
      </c>
      <c r="O183" s="112">
        <v>2122</v>
      </c>
      <c r="P183" s="112">
        <v>2152</v>
      </c>
      <c r="Q183" s="112">
        <v>2121</v>
      </c>
      <c r="R183" s="112">
        <v>2446</v>
      </c>
      <c r="S183" s="112">
        <v>2661</v>
      </c>
      <c r="T183" s="112">
        <v>2291</v>
      </c>
      <c r="U183" s="112">
        <v>2250</v>
      </c>
      <c r="V183" s="112">
        <v>2002</v>
      </c>
      <c r="W183" s="112">
        <v>2019</v>
      </c>
      <c r="X183" s="112">
        <v>1963</v>
      </c>
      <c r="Y183" s="112">
        <v>1749</v>
      </c>
      <c r="Z183" s="113">
        <v>1458</v>
      </c>
      <c r="AA183" s="113"/>
    </row>
    <row r="184" spans="1:27">
      <c r="A184" s="9"/>
      <c r="B184" s="9"/>
      <c r="C184" s="9"/>
      <c r="D184" s="9"/>
      <c r="E184" s="9"/>
      <c r="F184" s="9"/>
      <c r="G184" s="9"/>
      <c r="H184" s="9"/>
      <c r="I184" s="9"/>
      <c r="J184" s="9"/>
      <c r="K184" s="9"/>
      <c r="L184" s="9"/>
      <c r="M184" s="99" t="s">
        <v>42</v>
      </c>
      <c r="N184" s="101">
        <v>358</v>
      </c>
      <c r="O184" s="112">
        <v>358</v>
      </c>
      <c r="P184" s="112">
        <v>340</v>
      </c>
      <c r="Q184" s="112">
        <v>271</v>
      </c>
      <c r="R184" s="112">
        <v>223</v>
      </c>
      <c r="S184" s="112">
        <v>299</v>
      </c>
      <c r="T184" s="112">
        <v>253</v>
      </c>
      <c r="U184" s="112">
        <v>234</v>
      </c>
      <c r="V184" s="112">
        <v>178</v>
      </c>
      <c r="W184" s="112">
        <v>160</v>
      </c>
      <c r="X184" s="112">
        <v>125</v>
      </c>
      <c r="Y184" s="112">
        <v>128</v>
      </c>
      <c r="Z184" s="113">
        <v>109</v>
      </c>
      <c r="AA184" s="113"/>
    </row>
    <row r="185" spans="1:27">
      <c r="A185" s="9"/>
      <c r="B185" s="9"/>
      <c r="C185" s="9"/>
      <c r="D185" s="9"/>
      <c r="E185" s="9"/>
      <c r="F185" s="9"/>
      <c r="G185" s="9"/>
      <c r="H185" s="9"/>
      <c r="I185" s="9"/>
      <c r="J185" s="9"/>
      <c r="K185" s="9"/>
      <c r="L185" s="9"/>
      <c r="M185" s="99" t="s">
        <v>43</v>
      </c>
      <c r="N185" s="101">
        <v>416</v>
      </c>
      <c r="O185" s="112">
        <v>416</v>
      </c>
      <c r="P185" s="112">
        <v>303</v>
      </c>
      <c r="Q185" s="112">
        <v>362</v>
      </c>
      <c r="R185" s="112">
        <v>421</v>
      </c>
      <c r="S185" s="112">
        <v>476</v>
      </c>
      <c r="T185" s="112">
        <v>384</v>
      </c>
      <c r="U185" s="112">
        <v>375</v>
      </c>
      <c r="V185" s="112">
        <v>339</v>
      </c>
      <c r="W185" s="112">
        <v>376</v>
      </c>
      <c r="X185" s="112">
        <v>417</v>
      </c>
      <c r="Y185" s="112">
        <v>438</v>
      </c>
      <c r="Z185" s="113">
        <v>370</v>
      </c>
      <c r="AA185" s="113"/>
    </row>
    <row r="186" spans="1:27">
      <c r="A186" s="9"/>
      <c r="B186" s="9"/>
      <c r="C186" s="9"/>
      <c r="D186" s="9"/>
      <c r="E186" s="9"/>
      <c r="F186" s="9"/>
      <c r="G186" s="9"/>
      <c r="H186" s="9"/>
      <c r="I186" s="9"/>
      <c r="J186" s="9"/>
      <c r="K186" s="9"/>
      <c r="L186" s="9"/>
      <c r="M186" s="99" t="s">
        <v>44</v>
      </c>
      <c r="N186" s="101">
        <v>2937</v>
      </c>
      <c r="O186" s="112">
        <v>2937</v>
      </c>
      <c r="P186" s="112">
        <v>1875</v>
      </c>
      <c r="Q186" s="112">
        <v>1460</v>
      </c>
      <c r="R186" s="112">
        <v>1440</v>
      </c>
      <c r="S186" s="112">
        <v>1305</v>
      </c>
      <c r="T186" s="112">
        <v>1146</v>
      </c>
      <c r="U186" s="112">
        <v>1269</v>
      </c>
      <c r="V186" s="112">
        <v>1167</v>
      </c>
      <c r="W186" s="112">
        <v>1090</v>
      </c>
      <c r="X186" s="112">
        <v>998</v>
      </c>
      <c r="Y186" s="112">
        <v>994</v>
      </c>
      <c r="Z186" s="113">
        <v>864</v>
      </c>
      <c r="AA186" s="113"/>
    </row>
    <row r="187" spans="1:27">
      <c r="A187" s="9"/>
      <c r="B187" s="9"/>
      <c r="C187" s="9"/>
      <c r="D187" s="9"/>
      <c r="E187" s="9"/>
      <c r="F187" s="9"/>
      <c r="G187" s="9"/>
      <c r="H187" s="9"/>
      <c r="I187" s="9"/>
      <c r="J187" s="9"/>
      <c r="K187" s="9"/>
      <c r="L187" s="9"/>
      <c r="M187" s="99" t="s">
        <v>51</v>
      </c>
      <c r="N187" s="104">
        <v>2426</v>
      </c>
      <c r="O187" s="112">
        <v>2426</v>
      </c>
      <c r="P187" s="112">
        <v>1993</v>
      </c>
      <c r="Q187" s="112">
        <v>1775</v>
      </c>
      <c r="R187" s="112">
        <v>1816</v>
      </c>
      <c r="S187" s="112">
        <v>1746</v>
      </c>
      <c r="T187" s="112">
        <v>1505</v>
      </c>
      <c r="U187" s="112">
        <v>1600</v>
      </c>
      <c r="V187" s="112">
        <v>1396</v>
      </c>
      <c r="W187" s="112">
        <v>1396</v>
      </c>
      <c r="X187" s="112">
        <v>1342</v>
      </c>
      <c r="Y187" s="112">
        <v>1311</v>
      </c>
      <c r="Z187" s="113">
        <v>1334</v>
      </c>
      <c r="AA187" s="113"/>
    </row>
    <row r="188" spans="1:27">
      <c r="A188" s="9"/>
      <c r="B188" s="9"/>
      <c r="C188" s="9"/>
      <c r="D188" s="9"/>
      <c r="E188" s="9"/>
      <c r="F188" s="9"/>
      <c r="G188" s="9"/>
      <c r="H188" s="9"/>
      <c r="I188" s="9"/>
      <c r="J188" s="9"/>
      <c r="K188" s="9"/>
      <c r="L188" s="9"/>
      <c r="M188" s="99" t="s">
        <v>52</v>
      </c>
      <c r="N188" s="104">
        <v>18121</v>
      </c>
      <c r="O188" s="104">
        <v>18121</v>
      </c>
      <c r="P188" s="104">
        <v>15255</v>
      </c>
      <c r="Q188" s="104">
        <v>13907</v>
      </c>
      <c r="R188" s="104">
        <v>13739</v>
      </c>
      <c r="S188" s="104">
        <v>14251</v>
      </c>
      <c r="T188" s="104">
        <v>13329</v>
      </c>
      <c r="U188" s="104">
        <v>14456</v>
      </c>
      <c r="V188" s="104">
        <v>14015</v>
      </c>
      <c r="W188" s="104">
        <v>13036</v>
      </c>
      <c r="X188" s="104">
        <f>SUM(X182:X187)</f>
        <v>11869</v>
      </c>
      <c r="Y188" s="104">
        <f>SUM(Y182:Y187)</f>
        <v>10353</v>
      </c>
      <c r="Z188" s="114">
        <f>SUM(Z182:Z187)</f>
        <v>9438</v>
      </c>
      <c r="AA188" s="114">
        <f>SUM(AA182:AA187)</f>
        <v>0</v>
      </c>
    </row>
  </sheetData>
  <hyperlinks>
    <hyperlink ref="AB1" location="Content!A1" display="ToC" xr:uid="{5A0FF5AF-EC67-4E1A-8E94-9AE7BE7B05C0}"/>
  </hyperlinks>
  <pageMargins left="0.7" right="0.7" top="0.75" bottom="0.75" header="0.3" footer="0.3"/>
  <pageSetup orientation="portrait" r:id="rId1"/>
  <ignoredErrors>
    <ignoredError sqref="AB14 AB25 AB35"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23F8-4886-4ED2-9875-63AE54826934}">
  <sheetPr>
    <pageSetUpPr fitToPage="1"/>
  </sheetPr>
  <dimension ref="A1:AB38"/>
  <sheetViews>
    <sheetView zoomScale="80" zoomScaleNormal="80" workbookViewId="0">
      <pane xSplit="2" ySplit="7" topLeftCell="C8" activePane="bottomRight" state="frozenSplit"/>
      <selection pane="topRight" activeCell="J1" sqref="J1"/>
      <selection pane="bottomLeft" activeCell="A8" sqref="A8"/>
      <selection pane="bottomRight" activeCell="AB22" sqref="AB22"/>
    </sheetView>
  </sheetViews>
  <sheetFormatPr defaultColWidth="8.85546875" defaultRowHeight="14.25"/>
  <cols>
    <col min="1" max="1" width="10.28515625" style="9" customWidth="1"/>
    <col min="2" max="2" width="24.7109375" style="9" customWidth="1"/>
    <col min="3" max="3" width="9.7109375" style="9" customWidth="1"/>
    <col min="4" max="20" width="8.85546875" style="9" customWidth="1"/>
    <col min="21" max="21" width="10.85546875" style="9" customWidth="1"/>
    <col min="22" max="24" width="10.7109375" style="9" customWidth="1"/>
    <col min="25" max="25" width="10.85546875" style="9" bestFit="1" customWidth="1"/>
    <col min="26" max="26" width="11.7109375" style="9" customWidth="1"/>
    <col min="27" max="27" width="10.85546875" style="9" customWidth="1"/>
    <col min="28" max="28" width="11.42578125" style="9" customWidth="1"/>
    <col min="29" max="16384" width="8.85546875" style="9"/>
  </cols>
  <sheetData>
    <row r="1" spans="1:28" ht="18.75">
      <c r="A1" s="8" t="s">
        <v>32</v>
      </c>
      <c r="AB1" s="888" t="s">
        <v>458</v>
      </c>
    </row>
    <row r="2" spans="1:28">
      <c r="A2" s="9" t="s">
        <v>33</v>
      </c>
    </row>
    <row r="3" spans="1:28" ht="15">
      <c r="A3" s="10" t="s">
        <v>31</v>
      </c>
    </row>
    <row r="4" spans="1:28" ht="15">
      <c r="A4" s="10" t="s">
        <v>434</v>
      </c>
    </row>
    <row r="6" spans="1:28" ht="15" thickBot="1">
      <c r="A6" s="11"/>
    </row>
    <row r="7" spans="1:28">
      <c r="A7" s="12" t="s">
        <v>34</v>
      </c>
      <c r="B7" s="13" t="s">
        <v>35</v>
      </c>
      <c r="C7" s="14">
        <v>1996</v>
      </c>
      <c r="D7" s="15">
        <v>1997</v>
      </c>
      <c r="E7" s="15">
        <v>1998</v>
      </c>
      <c r="F7" s="15">
        <v>1999</v>
      </c>
      <c r="G7" s="15">
        <v>2000</v>
      </c>
      <c r="H7" s="15">
        <v>2001</v>
      </c>
      <c r="I7" s="15">
        <v>2002</v>
      </c>
      <c r="J7" s="15">
        <v>2003</v>
      </c>
      <c r="K7" s="14">
        <v>2004</v>
      </c>
      <c r="L7" s="16">
        <v>2005</v>
      </c>
      <c r="M7" s="15">
        <v>2006</v>
      </c>
      <c r="N7" s="15">
        <v>2007</v>
      </c>
      <c r="O7" s="15">
        <v>2009</v>
      </c>
      <c r="P7" s="16">
        <v>2010</v>
      </c>
      <c r="Q7" s="16">
        <v>2011</v>
      </c>
      <c r="R7" s="15">
        <v>2012</v>
      </c>
      <c r="S7" s="17">
        <v>2013</v>
      </c>
      <c r="T7" s="17">
        <v>2014</v>
      </c>
      <c r="U7" s="18">
        <v>2015</v>
      </c>
      <c r="V7" s="17">
        <v>2016</v>
      </c>
      <c r="W7" s="17">
        <v>2017</v>
      </c>
      <c r="X7" s="18">
        <v>2018</v>
      </c>
      <c r="Y7" s="17">
        <v>2019</v>
      </c>
      <c r="Z7" s="17">
        <v>2020</v>
      </c>
      <c r="AA7" s="17">
        <v>2021</v>
      </c>
      <c r="AB7" s="1233">
        <v>2022</v>
      </c>
    </row>
    <row r="8" spans="1:28" ht="28.5">
      <c r="A8" s="19" t="s">
        <v>36</v>
      </c>
      <c r="B8" s="20" t="s">
        <v>37</v>
      </c>
      <c r="C8" s="21">
        <v>18490</v>
      </c>
      <c r="D8" s="22">
        <v>18660</v>
      </c>
      <c r="E8" s="22">
        <v>18900</v>
      </c>
      <c r="F8" s="22">
        <v>17630</v>
      </c>
      <c r="G8" s="22">
        <v>18888</v>
      </c>
      <c r="H8" s="22">
        <v>18480</v>
      </c>
      <c r="I8" s="22">
        <v>16940</v>
      </c>
      <c r="J8" s="22">
        <v>18080</v>
      </c>
      <c r="K8" s="21">
        <v>21964</v>
      </c>
      <c r="L8" s="23">
        <v>19354</v>
      </c>
      <c r="M8" s="22">
        <v>18444</v>
      </c>
      <c r="N8" s="22">
        <v>18877</v>
      </c>
      <c r="O8" s="22">
        <v>22941</v>
      </c>
      <c r="P8" s="23">
        <v>27818</v>
      </c>
      <c r="Q8" s="23">
        <v>26227</v>
      </c>
      <c r="R8" s="22">
        <v>23899</v>
      </c>
      <c r="S8" s="22">
        <v>25624</v>
      </c>
      <c r="T8" s="22">
        <v>26755</v>
      </c>
      <c r="U8" s="21">
        <v>24367</v>
      </c>
      <c r="V8" s="22">
        <v>27564</v>
      </c>
      <c r="W8" s="22">
        <v>26403</v>
      </c>
      <c r="X8" s="1079">
        <v>26499</v>
      </c>
      <c r="Y8" s="22">
        <v>25380</v>
      </c>
      <c r="Z8" s="22">
        <v>27577</v>
      </c>
      <c r="AA8" s="22">
        <v>27945</v>
      </c>
      <c r="AB8" s="1259">
        <v>29128</v>
      </c>
    </row>
    <row r="9" spans="1:28">
      <c r="A9" s="1346" t="s">
        <v>38</v>
      </c>
      <c r="B9" s="24" t="s">
        <v>39</v>
      </c>
      <c r="C9" s="25">
        <v>40192</v>
      </c>
      <c r="D9" s="26">
        <v>39865</v>
      </c>
      <c r="E9" s="26">
        <v>39352</v>
      </c>
      <c r="F9" s="26">
        <v>37368</v>
      </c>
      <c r="G9" s="26">
        <v>38496</v>
      </c>
      <c r="H9" s="26">
        <v>39423</v>
      </c>
      <c r="I9" s="26">
        <v>37230</v>
      </c>
      <c r="J9" s="26">
        <v>39267</v>
      </c>
      <c r="K9" s="25">
        <v>40756</v>
      </c>
      <c r="L9" s="27">
        <v>39254</v>
      </c>
      <c r="M9" s="26">
        <v>36724</v>
      </c>
      <c r="N9" s="26">
        <v>36544</v>
      </c>
      <c r="O9" s="26">
        <v>30875</v>
      </c>
      <c r="P9" s="27">
        <v>31756</v>
      </c>
      <c r="Q9" s="27">
        <v>30805</v>
      </c>
      <c r="R9" s="26">
        <v>32391</v>
      </c>
      <c r="S9" s="26">
        <v>31125</v>
      </c>
      <c r="T9" s="26">
        <v>29738</v>
      </c>
      <c r="U9" s="25">
        <v>29903</v>
      </c>
      <c r="V9" s="26">
        <v>30879</v>
      </c>
      <c r="W9" s="26">
        <v>31961</v>
      </c>
      <c r="X9" s="25">
        <v>31406</v>
      </c>
      <c r="Y9" s="26">
        <v>31489</v>
      </c>
      <c r="Z9" s="26">
        <v>31752</v>
      </c>
      <c r="AA9" s="26">
        <v>32525</v>
      </c>
      <c r="AB9" s="1260">
        <v>31711</v>
      </c>
    </row>
    <row r="10" spans="1:28">
      <c r="A10" s="1347"/>
      <c r="B10" s="28" t="s">
        <v>40</v>
      </c>
      <c r="C10" s="29">
        <v>14082</v>
      </c>
      <c r="D10" s="30">
        <v>12048</v>
      </c>
      <c r="E10" s="30">
        <v>10917</v>
      </c>
      <c r="F10" s="30">
        <v>10283</v>
      </c>
      <c r="G10" s="30">
        <v>9587</v>
      </c>
      <c r="H10" s="30">
        <v>8806</v>
      </c>
      <c r="I10" s="30">
        <v>8603</v>
      </c>
      <c r="J10" s="30">
        <v>8169</v>
      </c>
      <c r="K10" s="29">
        <v>7986</v>
      </c>
      <c r="L10" s="31">
        <v>11387</v>
      </c>
      <c r="M10" s="30">
        <v>10965</v>
      </c>
      <c r="N10" s="30">
        <v>10315</v>
      </c>
      <c r="O10" s="30">
        <v>9507</v>
      </c>
      <c r="P10" s="31">
        <v>8679</v>
      </c>
      <c r="Q10" s="31">
        <v>7984</v>
      </c>
      <c r="R10" s="30">
        <v>8112</v>
      </c>
      <c r="S10" s="30">
        <v>7622</v>
      </c>
      <c r="T10" s="30">
        <v>7095</v>
      </c>
      <c r="U10" s="29">
        <v>6860</v>
      </c>
      <c r="V10" s="30">
        <v>6480</v>
      </c>
      <c r="W10" s="30">
        <v>6105</v>
      </c>
      <c r="X10" s="29">
        <v>5388</v>
      </c>
      <c r="Y10" s="30">
        <v>5241</v>
      </c>
      <c r="Z10" s="30">
        <v>6018</v>
      </c>
      <c r="AA10" s="30">
        <v>5239</v>
      </c>
      <c r="AB10" s="1261">
        <v>4513</v>
      </c>
    </row>
    <row r="11" spans="1:28">
      <c r="A11" s="1348"/>
      <c r="B11" s="32" t="s">
        <v>41</v>
      </c>
      <c r="C11" s="33">
        <v>188160</v>
      </c>
      <c r="D11" s="34">
        <v>133160</v>
      </c>
      <c r="E11" s="34">
        <v>112469</v>
      </c>
      <c r="F11" s="34">
        <v>121469</v>
      </c>
      <c r="G11" s="34">
        <v>145668</v>
      </c>
      <c r="H11" s="34">
        <v>123754</v>
      </c>
      <c r="I11" s="34">
        <v>117406</v>
      </c>
      <c r="J11" s="34">
        <v>123325</v>
      </c>
      <c r="K11" s="33">
        <v>128843</v>
      </c>
      <c r="L11" s="35">
        <v>135776</v>
      </c>
      <c r="M11" s="34">
        <v>135777</v>
      </c>
      <c r="N11" s="34">
        <v>143221</v>
      </c>
      <c r="O11" s="34">
        <v>110841</v>
      </c>
      <c r="P11" s="35">
        <v>113519</v>
      </c>
      <c r="Q11" s="35">
        <v>108060</v>
      </c>
      <c r="R11" s="34">
        <v>119010</v>
      </c>
      <c r="S11" s="34">
        <v>117674</v>
      </c>
      <c r="T11" s="34">
        <v>124442</v>
      </c>
      <c r="U11" s="33">
        <v>147283</v>
      </c>
      <c r="V11" s="34">
        <v>161859</v>
      </c>
      <c r="W11" s="34">
        <v>190939</v>
      </c>
      <c r="X11" s="33">
        <v>184483</v>
      </c>
      <c r="Y11" s="34">
        <v>190773</v>
      </c>
      <c r="Z11" s="34">
        <v>181072</v>
      </c>
      <c r="AA11" s="34">
        <v>184631</v>
      </c>
      <c r="AB11" s="1262">
        <v>170275</v>
      </c>
    </row>
    <row r="12" spans="1:28" s="39" customFormat="1">
      <c r="A12" s="1346" t="s">
        <v>42</v>
      </c>
      <c r="B12" s="24" t="s">
        <v>39</v>
      </c>
      <c r="C12" s="36"/>
      <c r="D12" s="37"/>
      <c r="E12" s="37"/>
      <c r="F12" s="37"/>
      <c r="G12" s="37"/>
      <c r="H12" s="37"/>
      <c r="I12" s="37"/>
      <c r="J12" s="37"/>
      <c r="K12" s="36"/>
      <c r="L12" s="38"/>
      <c r="M12" s="37"/>
      <c r="N12" s="37">
        <v>54138</v>
      </c>
      <c r="O12" s="37">
        <v>57903</v>
      </c>
      <c r="P12" s="38">
        <v>57187</v>
      </c>
      <c r="Q12" s="38">
        <v>56524</v>
      </c>
      <c r="R12" s="37">
        <v>63135</v>
      </c>
      <c r="S12" s="37">
        <v>66940</v>
      </c>
      <c r="T12" s="37">
        <v>64345</v>
      </c>
      <c r="U12" s="36">
        <v>67954</v>
      </c>
      <c r="V12" s="37">
        <v>65659</v>
      </c>
      <c r="W12" s="37">
        <v>63453</v>
      </c>
      <c r="X12" s="36">
        <v>63680</v>
      </c>
      <c r="Y12" s="37">
        <v>65039</v>
      </c>
      <c r="Z12" s="37">
        <v>67583</v>
      </c>
      <c r="AA12" s="37">
        <v>64787</v>
      </c>
      <c r="AB12" s="1234">
        <v>56641</v>
      </c>
    </row>
    <row r="13" spans="1:28" s="39" customFormat="1">
      <c r="A13" s="1347"/>
      <c r="B13" s="28" t="s">
        <v>40</v>
      </c>
      <c r="C13" s="29"/>
      <c r="D13" s="30"/>
      <c r="E13" s="30"/>
      <c r="F13" s="30"/>
      <c r="G13" s="30"/>
      <c r="H13" s="30"/>
      <c r="I13" s="30"/>
      <c r="J13" s="30"/>
      <c r="K13" s="29"/>
      <c r="L13" s="31"/>
      <c r="M13" s="30"/>
      <c r="N13" s="30">
        <v>20998</v>
      </c>
      <c r="O13" s="30">
        <v>17144</v>
      </c>
      <c r="P13" s="31">
        <v>17144</v>
      </c>
      <c r="Q13" s="31">
        <v>11854</v>
      </c>
      <c r="R13" s="30">
        <v>12424</v>
      </c>
      <c r="S13" s="30">
        <v>10968</v>
      </c>
      <c r="T13" s="30">
        <v>9184</v>
      </c>
      <c r="U13" s="29">
        <v>8711</v>
      </c>
      <c r="V13" s="30">
        <v>7767</v>
      </c>
      <c r="W13" s="30">
        <v>6809</v>
      </c>
      <c r="X13" s="29">
        <v>6232</v>
      </c>
      <c r="Y13" s="30">
        <v>5447</v>
      </c>
      <c r="Z13" s="30">
        <v>4981</v>
      </c>
      <c r="AA13" s="30">
        <v>4009</v>
      </c>
      <c r="AB13" s="1261">
        <v>3084</v>
      </c>
    </row>
    <row r="14" spans="1:28" s="39" customFormat="1">
      <c r="A14" s="1348"/>
      <c r="B14" s="40" t="s">
        <v>41</v>
      </c>
      <c r="C14" s="41"/>
      <c r="D14" s="42"/>
      <c r="E14" s="42"/>
      <c r="F14" s="42"/>
      <c r="G14" s="42"/>
      <c r="H14" s="42"/>
      <c r="I14" s="42"/>
      <c r="J14" s="42"/>
      <c r="K14" s="41"/>
      <c r="L14" s="43"/>
      <c r="M14" s="42"/>
      <c r="N14" s="42">
        <v>131649</v>
      </c>
      <c r="O14" s="42">
        <v>126420</v>
      </c>
      <c r="P14" s="43">
        <v>121125</v>
      </c>
      <c r="Q14" s="43">
        <v>123814</v>
      </c>
      <c r="R14" s="42">
        <v>132522</v>
      </c>
      <c r="S14" s="42">
        <v>147667</v>
      </c>
      <c r="T14" s="42">
        <v>150226</v>
      </c>
      <c r="U14" s="41">
        <v>185443</v>
      </c>
      <c r="V14" s="42">
        <v>181606</v>
      </c>
      <c r="W14" s="42">
        <v>182918</v>
      </c>
      <c r="X14" s="41">
        <v>200341</v>
      </c>
      <c r="Y14" s="42">
        <v>221507</v>
      </c>
      <c r="Z14" s="42">
        <v>257933</v>
      </c>
      <c r="AA14" s="42">
        <v>285821</v>
      </c>
      <c r="AB14" s="1262">
        <v>259078</v>
      </c>
    </row>
    <row r="15" spans="1:28">
      <c r="A15" s="1346" t="s">
        <v>43</v>
      </c>
      <c r="B15" s="24" t="s">
        <v>39</v>
      </c>
      <c r="C15" s="25"/>
      <c r="D15" s="26"/>
      <c r="E15" s="26"/>
      <c r="F15" s="26"/>
      <c r="G15" s="26"/>
      <c r="H15" s="26"/>
      <c r="I15" s="26"/>
      <c r="J15" s="26"/>
      <c r="K15" s="25"/>
      <c r="L15" s="27"/>
      <c r="M15" s="26"/>
      <c r="N15" s="44"/>
      <c r="O15" s="44"/>
      <c r="P15" s="27">
        <v>421273</v>
      </c>
      <c r="Q15" s="27">
        <v>521468</v>
      </c>
      <c r="R15" s="26">
        <v>657582</v>
      </c>
      <c r="S15" s="26">
        <v>659563</v>
      </c>
      <c r="T15" s="26">
        <v>564555</v>
      </c>
      <c r="U15" s="25">
        <v>569059</v>
      </c>
      <c r="V15" s="26">
        <v>650344</v>
      </c>
      <c r="W15" s="26">
        <v>628658</v>
      </c>
      <c r="X15" s="25">
        <v>708799</v>
      </c>
      <c r="Y15" s="26">
        <v>711617</v>
      </c>
      <c r="Z15" s="26">
        <v>770362</v>
      </c>
      <c r="AA15" s="26">
        <v>805710</v>
      </c>
      <c r="AB15" s="1234">
        <v>794718</v>
      </c>
    </row>
    <row r="16" spans="1:28">
      <c r="A16" s="1349"/>
      <c r="B16" s="447" t="s">
        <v>40</v>
      </c>
      <c r="C16" s="882"/>
      <c r="D16" s="883"/>
      <c r="E16" s="883"/>
      <c r="F16" s="883"/>
      <c r="G16" s="883"/>
      <c r="H16" s="883"/>
      <c r="I16" s="883"/>
      <c r="J16" s="883"/>
      <c r="K16" s="882"/>
      <c r="L16" s="884"/>
      <c r="M16" s="883"/>
      <c r="N16" s="885"/>
      <c r="O16" s="885"/>
      <c r="P16" s="884">
        <v>409836</v>
      </c>
      <c r="Q16" s="884">
        <v>585467</v>
      </c>
      <c r="R16" s="883">
        <v>740290</v>
      </c>
      <c r="S16" s="883">
        <v>892362</v>
      </c>
      <c r="T16" s="883">
        <v>868511</v>
      </c>
      <c r="U16" s="882">
        <v>1127577</v>
      </c>
      <c r="V16" s="883">
        <v>1475977</v>
      </c>
      <c r="W16" s="883">
        <v>1687593</v>
      </c>
      <c r="X16" s="882">
        <v>2072311</v>
      </c>
      <c r="Y16" s="883">
        <v>2268190</v>
      </c>
      <c r="Z16" s="883">
        <v>2926633</v>
      </c>
      <c r="AA16" s="883">
        <v>2852219</v>
      </c>
      <c r="AB16" s="1234">
        <v>2950653</v>
      </c>
    </row>
    <row r="17" spans="1:28">
      <c r="A17" s="1348"/>
      <c r="B17" s="40" t="s">
        <v>41</v>
      </c>
      <c r="C17" s="41"/>
      <c r="D17" s="42"/>
      <c r="E17" s="42"/>
      <c r="F17" s="42"/>
      <c r="G17" s="42"/>
      <c r="H17" s="42"/>
      <c r="I17" s="42"/>
      <c r="J17" s="42"/>
      <c r="K17" s="41"/>
      <c r="L17" s="43"/>
      <c r="M17" s="42"/>
      <c r="N17" s="45"/>
      <c r="O17" s="45"/>
      <c r="P17" s="45"/>
      <c r="Q17" s="45"/>
      <c r="R17" s="45"/>
      <c r="S17" s="45"/>
      <c r="T17" s="45"/>
      <c r="U17" s="45"/>
      <c r="V17" s="45"/>
      <c r="W17" s="45"/>
      <c r="X17" s="41">
        <v>7370709</v>
      </c>
      <c r="Y17" s="42">
        <v>7837441</v>
      </c>
      <c r="Z17" s="42">
        <v>9347568</v>
      </c>
      <c r="AA17" s="42">
        <v>0</v>
      </c>
      <c r="AB17" s="1262">
        <v>0</v>
      </c>
    </row>
    <row r="18" spans="1:28">
      <c r="A18" s="1349" t="s">
        <v>44</v>
      </c>
      <c r="B18" s="46" t="s">
        <v>39</v>
      </c>
      <c r="C18" s="47">
        <v>15161</v>
      </c>
      <c r="D18" s="48">
        <v>16546</v>
      </c>
      <c r="E18" s="48">
        <v>17107</v>
      </c>
      <c r="F18" s="48">
        <v>14732</v>
      </c>
      <c r="G18" s="48">
        <v>18292</v>
      </c>
      <c r="H18" s="48">
        <v>18820</v>
      </c>
      <c r="I18" s="48">
        <v>20904</v>
      </c>
      <c r="J18" s="48">
        <v>22602</v>
      </c>
      <c r="K18" s="47">
        <v>23975</v>
      </c>
      <c r="L18" s="49">
        <v>25553</v>
      </c>
      <c r="M18" s="48">
        <v>25843</v>
      </c>
      <c r="N18" s="48">
        <v>27752</v>
      </c>
      <c r="O18" s="48">
        <v>25806</v>
      </c>
      <c r="P18" s="49">
        <v>29059</v>
      </c>
      <c r="Q18" s="49">
        <v>30467</v>
      </c>
      <c r="R18" s="48">
        <v>32799</v>
      </c>
      <c r="S18" s="48">
        <v>36034</v>
      </c>
      <c r="T18" s="48">
        <v>35378</v>
      </c>
      <c r="U18" s="47">
        <v>39097</v>
      </c>
      <c r="V18" s="48">
        <v>42571</v>
      </c>
      <c r="W18" s="48">
        <v>43340</v>
      </c>
      <c r="X18" s="1080">
        <v>45083</v>
      </c>
      <c r="Y18" s="48">
        <v>46847</v>
      </c>
      <c r="Z18" s="48">
        <v>47537</v>
      </c>
      <c r="AA18" s="48">
        <v>56757</v>
      </c>
      <c r="AB18" s="1234">
        <v>53094</v>
      </c>
    </row>
    <row r="19" spans="1:28">
      <c r="A19" s="1347"/>
      <c r="B19" s="28" t="s">
        <v>45</v>
      </c>
      <c r="C19" s="29">
        <v>665</v>
      </c>
      <c r="D19" s="30">
        <v>621</v>
      </c>
      <c r="E19" s="30">
        <v>720</v>
      </c>
      <c r="F19" s="30">
        <v>421</v>
      </c>
      <c r="G19" s="30">
        <v>797</v>
      </c>
      <c r="H19" s="30">
        <v>944</v>
      </c>
      <c r="I19" s="30">
        <v>1144</v>
      </c>
      <c r="J19" s="30">
        <v>985</v>
      </c>
      <c r="K19" s="29">
        <v>1221</v>
      </c>
      <c r="L19" s="31">
        <v>1222</v>
      </c>
      <c r="M19" s="30">
        <v>1151</v>
      </c>
      <c r="N19" s="30">
        <v>1049</v>
      </c>
      <c r="O19" s="30">
        <v>959</v>
      </c>
      <c r="P19" s="31">
        <v>992</v>
      </c>
      <c r="Q19" s="31">
        <v>1139</v>
      </c>
      <c r="R19" s="30">
        <v>1149</v>
      </c>
      <c r="S19" s="30">
        <v>1406</v>
      </c>
      <c r="T19" s="30">
        <v>1063</v>
      </c>
      <c r="U19" s="29">
        <v>1140</v>
      </c>
      <c r="V19" s="30">
        <v>1177</v>
      </c>
      <c r="W19" s="30">
        <v>1059</v>
      </c>
      <c r="X19" s="29">
        <v>1079</v>
      </c>
      <c r="Y19" s="30">
        <v>1134</v>
      </c>
      <c r="Z19" s="30">
        <v>991</v>
      </c>
      <c r="AA19" s="30">
        <v>992</v>
      </c>
      <c r="AB19" s="1261">
        <v>907</v>
      </c>
    </row>
    <row r="20" spans="1:28">
      <c r="A20" s="1347"/>
      <c r="B20" s="28" t="s">
        <v>46</v>
      </c>
      <c r="C20" s="29">
        <v>592</v>
      </c>
      <c r="D20" s="30">
        <v>548</v>
      </c>
      <c r="E20" s="30">
        <v>594</v>
      </c>
      <c r="F20" s="30">
        <v>448</v>
      </c>
      <c r="G20" s="30">
        <v>761</v>
      </c>
      <c r="H20" s="30">
        <v>823</v>
      </c>
      <c r="I20" s="30">
        <v>982</v>
      </c>
      <c r="J20" s="30">
        <v>1051</v>
      </c>
      <c r="K20" s="29">
        <v>934</v>
      </c>
      <c r="L20" s="31">
        <v>908</v>
      </c>
      <c r="M20" s="30">
        <v>1285</v>
      </c>
      <c r="N20" s="30">
        <v>1005</v>
      </c>
      <c r="O20" s="30">
        <v>1019</v>
      </c>
      <c r="P20" s="31">
        <v>1180</v>
      </c>
      <c r="Q20" s="31">
        <v>1151</v>
      </c>
      <c r="R20" s="30">
        <v>1231</v>
      </c>
      <c r="S20" s="30">
        <v>1065</v>
      </c>
      <c r="T20" s="30">
        <v>1265</v>
      </c>
      <c r="U20" s="29">
        <v>1049</v>
      </c>
      <c r="V20" s="30">
        <v>1087</v>
      </c>
      <c r="W20" s="30">
        <v>1012</v>
      </c>
      <c r="X20" s="29">
        <v>1013</v>
      </c>
      <c r="Y20" s="30">
        <v>1110</v>
      </c>
      <c r="Z20" s="30">
        <v>1129</v>
      </c>
      <c r="AA20" s="30">
        <v>997</v>
      </c>
      <c r="AB20" s="1261">
        <v>739</v>
      </c>
    </row>
    <row r="21" spans="1:28">
      <c r="A21" s="1347"/>
      <c r="B21" s="46" t="s">
        <v>41</v>
      </c>
      <c r="C21" s="47">
        <v>212510</v>
      </c>
      <c r="D21" s="48">
        <v>225517</v>
      </c>
      <c r="E21" s="48">
        <v>246611</v>
      </c>
      <c r="F21" s="48">
        <v>319880</v>
      </c>
      <c r="G21" s="48">
        <v>361775</v>
      </c>
      <c r="H21" s="48">
        <v>294358</v>
      </c>
      <c r="I21" s="48">
        <v>264053</v>
      </c>
      <c r="J21" s="48">
        <v>273715</v>
      </c>
      <c r="K21" s="47">
        <v>304461</v>
      </c>
      <c r="L21" s="49">
        <v>334741</v>
      </c>
      <c r="M21" s="48">
        <v>362322</v>
      </c>
      <c r="N21" s="48">
        <v>401039</v>
      </c>
      <c r="O21" s="48">
        <v>351874</v>
      </c>
      <c r="P21" s="49">
        <v>370168</v>
      </c>
      <c r="Q21" s="49">
        <v>405684</v>
      </c>
      <c r="R21" s="48">
        <v>417951</v>
      </c>
      <c r="S21" s="48">
        <v>439645</v>
      </c>
      <c r="T21" s="48">
        <v>463316</v>
      </c>
      <c r="U21" s="47">
        <v>518315</v>
      </c>
      <c r="V21" s="48">
        <v>530951</v>
      </c>
      <c r="W21" s="48">
        <v>615251</v>
      </c>
      <c r="X21" s="1080">
        <v>638618</v>
      </c>
      <c r="Y21" s="48">
        <v>673569</v>
      </c>
      <c r="Z21" s="48">
        <v>851333</v>
      </c>
      <c r="AA21" s="48">
        <v>880414</v>
      </c>
      <c r="AB21" s="1261">
        <v>762611</v>
      </c>
    </row>
    <row r="22" spans="1:28" ht="15" thickBot="1">
      <c r="A22" s="1351"/>
      <c r="B22" s="50" t="s">
        <v>47</v>
      </c>
      <c r="C22" s="51"/>
      <c r="D22" s="52"/>
      <c r="E22" s="52"/>
      <c r="F22" s="52"/>
      <c r="G22" s="52"/>
      <c r="H22" s="52"/>
      <c r="I22" s="52"/>
      <c r="J22" s="52"/>
      <c r="K22" s="51"/>
      <c r="L22" s="53"/>
      <c r="M22" s="52"/>
      <c r="N22" s="52"/>
      <c r="O22" s="54">
        <v>133722</v>
      </c>
      <c r="P22" s="54">
        <v>142357</v>
      </c>
      <c r="Q22" s="54">
        <v>153639</v>
      </c>
      <c r="R22" s="54">
        <v>163436</v>
      </c>
      <c r="S22" s="54">
        <v>179212</v>
      </c>
      <c r="T22" s="54">
        <v>170125</v>
      </c>
      <c r="U22" s="54">
        <v>170388</v>
      </c>
      <c r="V22" s="54">
        <v>166481</v>
      </c>
      <c r="W22" s="54">
        <v>167654</v>
      </c>
      <c r="X22" s="1081">
        <v>169340</v>
      </c>
      <c r="Y22" s="1082">
        <v>170089</v>
      </c>
      <c r="Z22" s="1082">
        <v>171968</v>
      </c>
      <c r="AA22" s="1082">
        <v>152909</v>
      </c>
      <c r="AB22" s="1239">
        <v>146593</v>
      </c>
    </row>
    <row r="23" spans="1:28">
      <c r="A23" s="11"/>
    </row>
    <row r="24" spans="1:28">
      <c r="C24" s="55"/>
      <c r="D24" s="55"/>
      <c r="E24" s="55"/>
      <c r="F24" s="55"/>
      <c r="G24" s="55"/>
      <c r="H24" s="55"/>
      <c r="I24" s="55"/>
      <c r="J24" s="55"/>
      <c r="K24" s="55"/>
      <c r="L24" s="55"/>
      <c r="O24" s="47"/>
    </row>
    <row r="25" spans="1:28">
      <c r="C25" s="55"/>
      <c r="O25" s="47"/>
    </row>
    <row r="26" spans="1:28">
      <c r="C26" s="56"/>
      <c r="O26" s="47"/>
      <c r="Q26" s="47"/>
      <c r="R26" s="47"/>
      <c r="S26" s="47"/>
      <c r="T26" s="47"/>
      <c r="U26" s="47"/>
      <c r="V26" s="47"/>
      <c r="W26" s="47"/>
      <c r="X26" s="47"/>
      <c r="Y26" s="47"/>
    </row>
    <row r="27" spans="1:28">
      <c r="C27" s="55"/>
      <c r="O27" s="47"/>
    </row>
    <row r="28" spans="1:28">
      <c r="C28" s="56"/>
      <c r="O28" s="47"/>
    </row>
    <row r="29" spans="1:28">
      <c r="C29" s="56"/>
      <c r="O29" s="47"/>
    </row>
    <row r="30" spans="1:28">
      <c r="C30" s="56"/>
      <c r="O30" s="47"/>
    </row>
    <row r="31" spans="1:28">
      <c r="C31" s="55"/>
      <c r="O31" s="47"/>
    </row>
    <row r="32" spans="1:28">
      <c r="C32" s="56"/>
      <c r="O32" s="47"/>
    </row>
    <row r="33" spans="1:15">
      <c r="C33" s="56"/>
      <c r="O33" s="47"/>
    </row>
    <row r="34" spans="1:15">
      <c r="C34" s="55"/>
      <c r="O34" s="47"/>
    </row>
    <row r="35" spans="1:15">
      <c r="C35" s="56"/>
    </row>
    <row r="36" spans="1:15">
      <c r="C36" s="55"/>
    </row>
    <row r="37" spans="1:15">
      <c r="C37" s="55"/>
    </row>
    <row r="38" spans="1:15">
      <c r="A38" s="57"/>
      <c r="B38" s="57"/>
    </row>
  </sheetData>
  <mergeCells count="4">
    <mergeCell ref="A9:A11"/>
    <mergeCell ref="A12:A14"/>
    <mergeCell ref="A15:A17"/>
    <mergeCell ref="A18:A22"/>
  </mergeCells>
  <hyperlinks>
    <hyperlink ref="AB1" location="Content!A1" display="ToC" xr:uid="{1A2BD478-73FF-47AD-AEA5-DB587ADA1533}"/>
  </hyperlinks>
  <pageMargins left="0.75" right="0.75" top="1" bottom="1" header="0.51180555555555596" footer="0.51180555555555596"/>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1146-873C-452C-8421-C73A6DE961B7}">
  <dimension ref="A1:L80"/>
  <sheetViews>
    <sheetView zoomScaleNormal="100" workbookViewId="0">
      <selection activeCell="D69" sqref="D69"/>
    </sheetView>
  </sheetViews>
  <sheetFormatPr defaultRowHeight="15"/>
  <cols>
    <col min="1" max="1" width="12.7109375" customWidth="1"/>
    <col min="2" max="2" width="13.140625" customWidth="1"/>
  </cols>
  <sheetData>
    <row r="1" spans="1:12" ht="21">
      <c r="A1" s="496" t="s">
        <v>32</v>
      </c>
      <c r="L1" s="888" t="s">
        <v>458</v>
      </c>
    </row>
    <row r="2" spans="1:12" ht="18.75">
      <c r="A2" s="495" t="s">
        <v>437</v>
      </c>
    </row>
    <row r="3" spans="1:12">
      <c r="A3" t="s">
        <v>467</v>
      </c>
    </row>
    <row r="5" spans="1:12">
      <c r="A5" s="862" t="s">
        <v>438</v>
      </c>
    </row>
    <row r="7" spans="1:12">
      <c r="A7" s="534" t="s">
        <v>53</v>
      </c>
      <c r="B7" s="534">
        <v>2010</v>
      </c>
      <c r="C7" s="534">
        <f>B7+1</f>
        <v>2011</v>
      </c>
      <c r="D7" s="534">
        <f t="shared" ref="D7:L7" si="0">C7+1</f>
        <v>2012</v>
      </c>
      <c r="E7" s="534">
        <f t="shared" si="0"/>
        <v>2013</v>
      </c>
      <c r="F7" s="534">
        <f t="shared" si="0"/>
        <v>2014</v>
      </c>
      <c r="G7" s="534">
        <f t="shared" si="0"/>
        <v>2015</v>
      </c>
      <c r="H7" s="534">
        <f t="shared" si="0"/>
        <v>2016</v>
      </c>
      <c r="I7" s="534">
        <f t="shared" si="0"/>
        <v>2017</v>
      </c>
      <c r="J7" s="534">
        <f t="shared" si="0"/>
        <v>2018</v>
      </c>
      <c r="K7" s="534">
        <f t="shared" si="0"/>
        <v>2019</v>
      </c>
      <c r="L7" s="1203">
        <f t="shared" si="0"/>
        <v>2020</v>
      </c>
    </row>
    <row r="8" spans="1:12">
      <c r="A8" s="544" t="s">
        <v>55</v>
      </c>
      <c r="B8" s="547">
        <v>40900</v>
      </c>
      <c r="C8" s="547">
        <v>42192</v>
      </c>
      <c r="D8" s="547">
        <v>43238</v>
      </c>
      <c r="E8" s="547">
        <v>43474</v>
      </c>
      <c r="F8" s="547">
        <v>45976</v>
      </c>
      <c r="G8" s="547">
        <v>47284</v>
      </c>
      <c r="H8" s="547">
        <v>48817</v>
      </c>
      <c r="I8" s="547">
        <v>49313</v>
      </c>
      <c r="J8" s="547">
        <v>50799</v>
      </c>
      <c r="K8" s="547">
        <v>48988</v>
      </c>
      <c r="L8" s="1204">
        <v>52560</v>
      </c>
    </row>
    <row r="9" spans="1:12">
      <c r="A9" s="545" t="s">
        <v>56</v>
      </c>
      <c r="B9" s="548">
        <v>74286</v>
      </c>
      <c r="C9" s="548">
        <v>81221</v>
      </c>
      <c r="D9" s="548">
        <v>82470</v>
      </c>
      <c r="E9" s="548">
        <v>78967</v>
      </c>
      <c r="F9" s="548">
        <v>78360</v>
      </c>
      <c r="G9" s="548">
        <v>79016</v>
      </c>
      <c r="H9" s="548">
        <v>78808</v>
      </c>
      <c r="I9" s="548">
        <v>80268</v>
      </c>
      <c r="J9" s="548">
        <v>81114</v>
      </c>
      <c r="K9" s="548">
        <v>81989</v>
      </c>
      <c r="L9" s="1205">
        <v>77426</v>
      </c>
    </row>
    <row r="10" spans="1:12">
      <c r="A10" s="545" t="s">
        <v>57</v>
      </c>
      <c r="B10" s="548">
        <v>22686</v>
      </c>
      <c r="C10" s="548">
        <v>24247</v>
      </c>
      <c r="D10" s="548">
        <v>25654</v>
      </c>
      <c r="E10" s="548">
        <v>28839</v>
      </c>
      <c r="F10" s="548">
        <v>32036</v>
      </c>
      <c r="G10" s="548">
        <v>32577</v>
      </c>
      <c r="H10" s="548">
        <v>30863</v>
      </c>
      <c r="I10" s="548">
        <v>29421</v>
      </c>
      <c r="J10" s="548">
        <v>30189</v>
      </c>
      <c r="K10" s="548">
        <v>32871</v>
      </c>
      <c r="L10" s="1205">
        <v>35871</v>
      </c>
    </row>
    <row r="11" spans="1:12">
      <c r="A11" s="545" t="s">
        <v>58</v>
      </c>
      <c r="B11" s="548">
        <v>11073</v>
      </c>
      <c r="C11" s="548">
        <v>12329</v>
      </c>
      <c r="D11" s="548">
        <v>13701</v>
      </c>
      <c r="E11" s="548">
        <v>15954</v>
      </c>
      <c r="F11" s="548">
        <v>18810</v>
      </c>
      <c r="G11" s="548">
        <v>20011</v>
      </c>
      <c r="H11" s="548">
        <v>23184</v>
      </c>
      <c r="I11" s="548">
        <v>27489</v>
      </c>
      <c r="J11" s="548">
        <v>33970</v>
      </c>
      <c r="K11" s="548">
        <v>37145</v>
      </c>
      <c r="L11" s="1205">
        <v>41367</v>
      </c>
    </row>
    <row r="12" spans="1:12">
      <c r="A12" s="545" t="s">
        <v>59</v>
      </c>
      <c r="B12" s="548">
        <v>69896</v>
      </c>
      <c r="C12" s="548">
        <v>74768</v>
      </c>
      <c r="D12" s="548">
        <v>80685</v>
      </c>
      <c r="E12" s="548">
        <v>89252</v>
      </c>
      <c r="F12" s="548">
        <v>89937</v>
      </c>
      <c r="G12" s="548">
        <v>86888</v>
      </c>
      <c r="H12" s="548">
        <v>88414</v>
      </c>
      <c r="I12" s="548">
        <v>90059</v>
      </c>
      <c r="J12" s="548">
        <v>93790</v>
      </c>
      <c r="K12" s="548">
        <v>97180</v>
      </c>
      <c r="L12" s="1205">
        <v>99790</v>
      </c>
    </row>
    <row r="13" spans="1:12">
      <c r="A13" s="546" t="s">
        <v>51</v>
      </c>
      <c r="B13" s="549">
        <v>4624</v>
      </c>
      <c r="C13" s="549">
        <v>5829</v>
      </c>
      <c r="D13" s="549">
        <v>6392</v>
      </c>
      <c r="E13" s="549">
        <v>6699</v>
      </c>
      <c r="F13" s="549">
        <v>6948</v>
      </c>
      <c r="G13" s="549">
        <v>6855</v>
      </c>
      <c r="H13" s="549">
        <v>7151</v>
      </c>
      <c r="I13" s="549">
        <v>7450</v>
      </c>
      <c r="J13" s="549">
        <v>7886</v>
      </c>
      <c r="K13" s="549">
        <v>7514</v>
      </c>
      <c r="L13" s="1206">
        <v>8419</v>
      </c>
    </row>
    <row r="14" spans="1:12">
      <c r="A14" s="526" t="s">
        <v>52</v>
      </c>
      <c r="B14" s="538">
        <f t="shared" ref="B14" si="1">SUM(B8:B13)</f>
        <v>223465</v>
      </c>
      <c r="C14" s="538">
        <f t="shared" ref="C14" si="2">SUM(C8:C13)</f>
        <v>240586</v>
      </c>
      <c r="D14" s="538">
        <f t="shared" ref="D14" si="3">SUM(D8:D13)</f>
        <v>252140</v>
      </c>
      <c r="E14" s="538">
        <f t="shared" ref="E14:F14" si="4">SUM(E8:E13)</f>
        <v>263185</v>
      </c>
      <c r="F14" s="538">
        <f t="shared" si="4"/>
        <v>272067</v>
      </c>
      <c r="G14" s="538">
        <f>SUM(G8:G13)</f>
        <v>272631</v>
      </c>
      <c r="H14" s="538">
        <f t="shared" ref="H14:L14" si="5">SUM(H8:H13)</f>
        <v>277237</v>
      </c>
      <c r="I14" s="538">
        <f t="shared" si="5"/>
        <v>284000</v>
      </c>
      <c r="J14" s="538">
        <f t="shared" si="5"/>
        <v>297748</v>
      </c>
      <c r="K14" s="538">
        <f t="shared" si="5"/>
        <v>305687</v>
      </c>
      <c r="L14" s="538">
        <f t="shared" si="5"/>
        <v>315433</v>
      </c>
    </row>
    <row r="15" spans="1:12">
      <c r="L15" s="1086"/>
    </row>
    <row r="16" spans="1:12">
      <c r="L16" s="1086"/>
    </row>
    <row r="17" spans="1:12">
      <c r="A17" s="534" t="s">
        <v>53</v>
      </c>
      <c r="B17" s="534">
        <v>2010</v>
      </c>
      <c r="C17" s="534">
        <f>B17+1</f>
        <v>2011</v>
      </c>
      <c r="D17" s="534">
        <f t="shared" ref="D17:L17" si="6">C17+1</f>
        <v>2012</v>
      </c>
      <c r="E17" s="534">
        <f t="shared" si="6"/>
        <v>2013</v>
      </c>
      <c r="F17" s="534">
        <f t="shared" si="6"/>
        <v>2014</v>
      </c>
      <c r="G17" s="534">
        <f t="shared" si="6"/>
        <v>2015</v>
      </c>
      <c r="H17" s="534">
        <f t="shared" si="6"/>
        <v>2016</v>
      </c>
      <c r="I17" s="534">
        <f t="shared" si="6"/>
        <v>2017</v>
      </c>
      <c r="J17" s="534">
        <f t="shared" si="6"/>
        <v>2018</v>
      </c>
      <c r="K17" s="534">
        <f t="shared" si="6"/>
        <v>2019</v>
      </c>
      <c r="L17" s="1187">
        <f t="shared" si="6"/>
        <v>2020</v>
      </c>
    </row>
    <row r="18" spans="1:12">
      <c r="A18" s="544" t="s">
        <v>55</v>
      </c>
      <c r="B18" s="859">
        <f>B8/B$14</f>
        <v>0.18302642471975478</v>
      </c>
      <c r="C18" s="859">
        <f t="shared" ref="C18:L18" si="7">C8/C$14</f>
        <v>0.17537180052039603</v>
      </c>
      <c r="D18" s="859">
        <f t="shared" si="7"/>
        <v>0.17148409613706672</v>
      </c>
      <c r="E18" s="859">
        <f t="shared" si="7"/>
        <v>0.16518418602883903</v>
      </c>
      <c r="F18" s="859">
        <f t="shared" si="7"/>
        <v>0.16898778609680704</v>
      </c>
      <c r="G18" s="859">
        <f t="shared" si="7"/>
        <v>0.17343588953567277</v>
      </c>
      <c r="H18" s="859">
        <f t="shared" si="7"/>
        <v>0.17608400033184604</v>
      </c>
      <c r="I18" s="859">
        <f t="shared" si="7"/>
        <v>0.17363732394366196</v>
      </c>
      <c r="J18" s="859">
        <f t="shared" si="7"/>
        <v>0.17061071778819673</v>
      </c>
      <c r="K18" s="859">
        <f t="shared" si="7"/>
        <v>0.16025542466640713</v>
      </c>
      <c r="L18" s="859">
        <f t="shared" si="7"/>
        <v>0.166628095348299</v>
      </c>
    </row>
    <row r="19" spans="1:12">
      <c r="A19" s="545" t="s">
        <v>56</v>
      </c>
      <c r="B19" s="860">
        <f t="shared" ref="B19:L19" si="8">B9/B$14</f>
        <v>0.3324278969861052</v>
      </c>
      <c r="C19" s="860">
        <f t="shared" si="8"/>
        <v>0.33759653512673221</v>
      </c>
      <c r="D19" s="860">
        <f t="shared" si="8"/>
        <v>0.32708019354326962</v>
      </c>
      <c r="E19" s="860">
        <f t="shared" si="8"/>
        <v>0.30004369549936355</v>
      </c>
      <c r="F19" s="860">
        <f t="shared" si="8"/>
        <v>0.28801728985874803</v>
      </c>
      <c r="G19" s="860">
        <f t="shared" si="8"/>
        <v>0.28982764249113269</v>
      </c>
      <c r="H19" s="860">
        <f t="shared" si="8"/>
        <v>0.28426220165418037</v>
      </c>
      <c r="I19" s="860">
        <f t="shared" si="8"/>
        <v>0.28263380281690142</v>
      </c>
      <c r="J19" s="860">
        <f t="shared" si="8"/>
        <v>0.27242500369439931</v>
      </c>
      <c r="K19" s="860">
        <f t="shared" si="8"/>
        <v>0.26821225632755075</v>
      </c>
      <c r="L19" s="860">
        <f t="shared" si="8"/>
        <v>0.24545941610421229</v>
      </c>
    </row>
    <row r="20" spans="1:12">
      <c r="A20" s="545" t="s">
        <v>57</v>
      </c>
      <c r="B20" s="860">
        <f t="shared" ref="B20:L20" si="9">B10/B$14</f>
        <v>0.10151925357438525</v>
      </c>
      <c r="C20" s="860">
        <f t="shared" si="9"/>
        <v>0.10078308796023044</v>
      </c>
      <c r="D20" s="860">
        <f t="shared" si="9"/>
        <v>0.10174506226699452</v>
      </c>
      <c r="E20" s="860">
        <f t="shared" si="9"/>
        <v>0.10957691357790147</v>
      </c>
      <c r="F20" s="860">
        <f t="shared" si="9"/>
        <v>0.11775040706884701</v>
      </c>
      <c r="G20" s="860">
        <f t="shared" si="9"/>
        <v>0.1194911803866765</v>
      </c>
      <c r="H20" s="860">
        <f t="shared" si="9"/>
        <v>0.11132352463776481</v>
      </c>
      <c r="I20" s="860">
        <f t="shared" si="9"/>
        <v>0.10359507042253521</v>
      </c>
      <c r="J20" s="860">
        <f t="shared" si="9"/>
        <v>0.10139110926017975</v>
      </c>
      <c r="K20" s="860">
        <f t="shared" si="9"/>
        <v>0.10753156005979973</v>
      </c>
      <c r="L20" s="860">
        <f t="shared" si="9"/>
        <v>0.11371987078079973</v>
      </c>
    </row>
    <row r="21" spans="1:12">
      <c r="A21" s="545" t="s">
        <v>58</v>
      </c>
      <c r="B21" s="860">
        <f t="shared" ref="B21:L21" si="10">B11/B$14</f>
        <v>4.9551383885619672E-2</v>
      </c>
      <c r="C21" s="860">
        <f t="shared" si="10"/>
        <v>5.1245708395334724E-2</v>
      </c>
      <c r="D21" s="860">
        <f t="shared" si="10"/>
        <v>5.4338859363845485E-2</v>
      </c>
      <c r="E21" s="860">
        <f t="shared" si="10"/>
        <v>6.061895624750651E-2</v>
      </c>
      <c r="F21" s="860">
        <f t="shared" si="10"/>
        <v>6.9137381600855669E-2</v>
      </c>
      <c r="G21" s="860">
        <f t="shared" si="10"/>
        <v>7.3399576717247852E-2</v>
      </c>
      <c r="H21" s="860">
        <f t="shared" si="10"/>
        <v>8.3625201542362665E-2</v>
      </c>
      <c r="I21" s="860">
        <f t="shared" si="10"/>
        <v>9.6792253521126762E-2</v>
      </c>
      <c r="J21" s="860">
        <f t="shared" si="10"/>
        <v>0.11408976718567379</v>
      </c>
      <c r="K21" s="860">
        <f t="shared" si="10"/>
        <v>0.12151318178398166</v>
      </c>
      <c r="L21" s="860">
        <f t="shared" si="10"/>
        <v>0.13114353919849858</v>
      </c>
    </row>
    <row r="22" spans="1:12">
      <c r="A22" s="545" t="s">
        <v>59</v>
      </c>
      <c r="B22" s="860">
        <f t="shared" ref="B22:L22" si="11">B12/B$14</f>
        <v>0.3127827624012709</v>
      </c>
      <c r="C22" s="860">
        <f t="shared" si="11"/>
        <v>0.31077452553348905</v>
      </c>
      <c r="D22" s="860">
        <f t="shared" si="11"/>
        <v>0.32000079321012137</v>
      </c>
      <c r="E22" s="860">
        <f t="shared" si="11"/>
        <v>0.33912267036495242</v>
      </c>
      <c r="F22" s="860">
        <f t="shared" si="11"/>
        <v>0.33056930829538311</v>
      </c>
      <c r="G22" s="860">
        <f t="shared" si="11"/>
        <v>0.31870183508111699</v>
      </c>
      <c r="H22" s="860">
        <f t="shared" si="11"/>
        <v>0.31891125643402574</v>
      </c>
      <c r="I22" s="860">
        <f t="shared" si="11"/>
        <v>0.31710915492957747</v>
      </c>
      <c r="J22" s="860">
        <f t="shared" si="11"/>
        <v>0.31499791770221797</v>
      </c>
      <c r="K22" s="860">
        <f t="shared" si="11"/>
        <v>0.31790687860458572</v>
      </c>
      <c r="L22" s="860">
        <f t="shared" si="11"/>
        <v>0.31635878300621684</v>
      </c>
    </row>
    <row r="23" spans="1:12">
      <c r="A23" s="546" t="s">
        <v>51</v>
      </c>
      <c r="B23" s="861">
        <f t="shared" ref="B23:L23" si="12">B13/B$14</f>
        <v>2.0692278432864208E-2</v>
      </c>
      <c r="C23" s="861">
        <f t="shared" si="12"/>
        <v>2.4228342463817512E-2</v>
      </c>
      <c r="D23" s="861">
        <f t="shared" si="12"/>
        <v>2.5350995478702308E-2</v>
      </c>
      <c r="E23" s="861">
        <f t="shared" si="12"/>
        <v>2.5453578281437014E-2</v>
      </c>
      <c r="F23" s="861">
        <f t="shared" si="12"/>
        <v>2.5537827079359129E-2</v>
      </c>
      <c r="G23" s="861">
        <f t="shared" si="12"/>
        <v>2.5143875788153219E-2</v>
      </c>
      <c r="H23" s="861">
        <f t="shared" si="12"/>
        <v>2.5793815399820369E-2</v>
      </c>
      <c r="I23" s="861">
        <f t="shared" si="12"/>
        <v>2.6232394366197183E-2</v>
      </c>
      <c r="J23" s="861">
        <f t="shared" si="12"/>
        <v>2.6485484369332457E-2</v>
      </c>
      <c r="K23" s="861">
        <f t="shared" si="12"/>
        <v>2.4580698557675008E-2</v>
      </c>
      <c r="L23" s="861">
        <f t="shared" si="12"/>
        <v>2.669029556197354E-2</v>
      </c>
    </row>
    <row r="24" spans="1:12">
      <c r="L24" s="1086"/>
    </row>
    <row r="25" spans="1:12">
      <c r="L25" s="1086"/>
    </row>
    <row r="26" spans="1:12">
      <c r="L26" s="1086"/>
    </row>
    <row r="27" spans="1:12">
      <c r="L27" s="1086"/>
    </row>
    <row r="28" spans="1:12">
      <c r="L28" s="1086"/>
    </row>
    <row r="29" spans="1:12">
      <c r="L29" s="1086"/>
    </row>
    <row r="30" spans="1:12">
      <c r="L30" s="1086"/>
    </row>
    <row r="31" spans="1:12">
      <c r="L31" s="1086"/>
    </row>
    <row r="32" spans="1:12">
      <c r="A32" s="862" t="s">
        <v>439</v>
      </c>
      <c r="L32" s="1086"/>
    </row>
    <row r="33" spans="1:12">
      <c r="L33" s="1086"/>
    </row>
    <row r="34" spans="1:12">
      <c r="A34" s="534" t="s">
        <v>215</v>
      </c>
      <c r="B34" s="534">
        <f>B17</f>
        <v>2010</v>
      </c>
      <c r="C34" s="534">
        <f t="shared" ref="C34:K34" si="13">C17</f>
        <v>2011</v>
      </c>
      <c r="D34" s="534">
        <f t="shared" si="13"/>
        <v>2012</v>
      </c>
      <c r="E34" s="534">
        <f t="shared" si="13"/>
        <v>2013</v>
      </c>
      <c r="F34" s="534">
        <f t="shared" si="13"/>
        <v>2014</v>
      </c>
      <c r="G34" s="534">
        <f t="shared" si="13"/>
        <v>2015</v>
      </c>
      <c r="H34" s="534">
        <f t="shared" si="13"/>
        <v>2016</v>
      </c>
      <c r="I34" s="534">
        <f t="shared" si="13"/>
        <v>2017</v>
      </c>
      <c r="J34" s="534">
        <f t="shared" si="13"/>
        <v>2018</v>
      </c>
      <c r="K34" s="534">
        <f t="shared" si="13"/>
        <v>2019</v>
      </c>
      <c r="L34" s="1187">
        <f t="shared" ref="L34" si="14">K34+1</f>
        <v>2020</v>
      </c>
    </row>
    <row r="35" spans="1:12">
      <c r="A35" s="863" t="s">
        <v>440</v>
      </c>
      <c r="B35" s="864">
        <v>108255</v>
      </c>
      <c r="C35" s="864">
        <v>117062</v>
      </c>
      <c r="D35" s="864">
        <v>124501</v>
      </c>
      <c r="E35" s="864">
        <v>132338</v>
      </c>
      <c r="F35" s="864">
        <v>139280</v>
      </c>
      <c r="G35" s="864">
        <v>140611</v>
      </c>
      <c r="H35" s="864">
        <v>141043</v>
      </c>
      <c r="I35" s="864">
        <v>142859</v>
      </c>
      <c r="J35" s="864">
        <v>148923</v>
      </c>
      <c r="K35" s="864">
        <v>165333</v>
      </c>
      <c r="L35" s="1205">
        <v>161226</v>
      </c>
    </row>
    <row r="36" spans="1:12">
      <c r="A36" s="774" t="s">
        <v>441</v>
      </c>
      <c r="B36" s="776">
        <v>50644</v>
      </c>
      <c r="C36" s="776">
        <v>56635</v>
      </c>
      <c r="D36" s="776">
        <v>59473</v>
      </c>
      <c r="E36" s="776">
        <v>61712</v>
      </c>
      <c r="F36" s="776">
        <v>63390</v>
      </c>
      <c r="G36" s="776">
        <v>64072</v>
      </c>
      <c r="H36" s="776">
        <v>67358</v>
      </c>
      <c r="I36" s="776">
        <v>72184</v>
      </c>
      <c r="J36" s="776">
        <v>76935</v>
      </c>
      <c r="K36" s="776">
        <v>82084</v>
      </c>
      <c r="L36" s="1205">
        <v>81069</v>
      </c>
    </row>
    <row r="37" spans="1:12">
      <c r="A37" s="774" t="s">
        <v>442</v>
      </c>
      <c r="B37" s="776">
        <v>35246</v>
      </c>
      <c r="C37" s="776">
        <v>37968</v>
      </c>
      <c r="D37" s="776">
        <v>38794</v>
      </c>
      <c r="E37" s="776">
        <v>40274</v>
      </c>
      <c r="F37" s="776">
        <v>40103</v>
      </c>
      <c r="G37" s="776">
        <v>39143</v>
      </c>
      <c r="H37" s="776">
        <v>40015</v>
      </c>
      <c r="I37" s="776">
        <v>40597</v>
      </c>
      <c r="J37" s="776">
        <v>42108</v>
      </c>
      <c r="K37" s="776">
        <v>39283</v>
      </c>
      <c r="L37" s="1205">
        <v>44738</v>
      </c>
    </row>
    <row r="38" spans="1:12">
      <c r="A38" s="865" t="s">
        <v>443</v>
      </c>
      <c r="B38" s="866">
        <v>29320</v>
      </c>
      <c r="C38" s="866">
        <v>28921</v>
      </c>
      <c r="D38" s="866">
        <v>29381</v>
      </c>
      <c r="E38" s="866">
        <v>28864</v>
      </c>
      <c r="F38" s="866">
        <v>29280</v>
      </c>
      <c r="G38" s="866">
        <v>28805</v>
      </c>
      <c r="H38" s="866">
        <v>28821</v>
      </c>
      <c r="I38" s="866">
        <v>28360</v>
      </c>
      <c r="J38" s="866">
        <v>29782</v>
      </c>
      <c r="K38" s="866">
        <v>18987</v>
      </c>
      <c r="L38" s="1205">
        <v>28400</v>
      </c>
    </row>
    <row r="39" spans="1:12">
      <c r="A39" s="526" t="s">
        <v>52</v>
      </c>
      <c r="B39" s="538">
        <f>SUM(B35:B38)</f>
        <v>223465</v>
      </c>
      <c r="C39" s="538">
        <f t="shared" ref="C39:K39" si="15">SUM(C35:C38)</f>
        <v>240586</v>
      </c>
      <c r="D39" s="538">
        <f t="shared" si="15"/>
        <v>252149</v>
      </c>
      <c r="E39" s="538">
        <f t="shared" si="15"/>
        <v>263188</v>
      </c>
      <c r="F39" s="538">
        <f t="shared" si="15"/>
        <v>272053</v>
      </c>
      <c r="G39" s="538">
        <f t="shared" si="15"/>
        <v>272631</v>
      </c>
      <c r="H39" s="538">
        <f t="shared" si="15"/>
        <v>277237</v>
      </c>
      <c r="I39" s="538">
        <f t="shared" si="15"/>
        <v>284000</v>
      </c>
      <c r="J39" s="538">
        <f t="shared" si="15"/>
        <v>297748</v>
      </c>
      <c r="K39" s="538">
        <f t="shared" si="15"/>
        <v>305687</v>
      </c>
      <c r="L39" s="1203">
        <f>SUM(L35:L38)</f>
        <v>315433</v>
      </c>
    </row>
    <row r="40" spans="1:12">
      <c r="L40" s="1086"/>
    </row>
    <row r="41" spans="1:12">
      <c r="L41" s="1086"/>
    </row>
    <row r="42" spans="1:12">
      <c r="A42" s="534" t="s">
        <v>215</v>
      </c>
      <c r="B42" s="534">
        <f>B34</f>
        <v>2010</v>
      </c>
      <c r="C42" s="534">
        <f t="shared" ref="C42:K42" si="16">C34</f>
        <v>2011</v>
      </c>
      <c r="D42" s="534">
        <f t="shared" si="16"/>
        <v>2012</v>
      </c>
      <c r="E42" s="534">
        <f t="shared" si="16"/>
        <v>2013</v>
      </c>
      <c r="F42" s="534">
        <f t="shared" si="16"/>
        <v>2014</v>
      </c>
      <c r="G42" s="534">
        <f t="shared" si="16"/>
        <v>2015</v>
      </c>
      <c r="H42" s="534">
        <f t="shared" si="16"/>
        <v>2016</v>
      </c>
      <c r="I42" s="534">
        <f t="shared" si="16"/>
        <v>2017</v>
      </c>
      <c r="J42" s="534">
        <f t="shared" si="16"/>
        <v>2018</v>
      </c>
      <c r="K42" s="534">
        <f t="shared" si="16"/>
        <v>2019</v>
      </c>
      <c r="L42" s="1187">
        <f t="shared" ref="L42" si="17">K42+1</f>
        <v>2020</v>
      </c>
    </row>
    <row r="43" spans="1:12">
      <c r="A43" s="863" t="s">
        <v>440</v>
      </c>
      <c r="B43" s="552">
        <f>B35/B$39</f>
        <v>0.48443827892511132</v>
      </c>
      <c r="C43" s="552">
        <f t="shared" ref="C43:K43" si="18">C35/C$39</f>
        <v>0.48657029087311815</v>
      </c>
      <c r="D43" s="552">
        <f t="shared" si="18"/>
        <v>0.49375964211636769</v>
      </c>
      <c r="E43" s="552">
        <f t="shared" si="18"/>
        <v>0.50282687660531633</v>
      </c>
      <c r="F43" s="552">
        <f t="shared" si="18"/>
        <v>0.51195906679948389</v>
      </c>
      <c r="G43" s="552">
        <f t="shared" si="18"/>
        <v>0.51575572843880557</v>
      </c>
      <c r="H43" s="552">
        <f t="shared" si="18"/>
        <v>0.508745225204428</v>
      </c>
      <c r="I43" s="552">
        <f t="shared" si="18"/>
        <v>0.50302464788732393</v>
      </c>
      <c r="J43" s="552">
        <f t="shared" si="18"/>
        <v>0.50016456869567549</v>
      </c>
      <c r="K43" s="552">
        <f t="shared" si="18"/>
        <v>0.5408571512691086</v>
      </c>
      <c r="L43" s="1207">
        <v>0.51</v>
      </c>
    </row>
    <row r="44" spans="1:12">
      <c r="A44" s="774" t="s">
        <v>441</v>
      </c>
      <c r="B44" s="555">
        <f t="shared" ref="B44:K44" si="19">B36/B$39</f>
        <v>0.22663056854540981</v>
      </c>
      <c r="C44" s="555">
        <f t="shared" si="19"/>
        <v>0.23540438762022728</v>
      </c>
      <c r="D44" s="555">
        <f t="shared" si="19"/>
        <v>0.23586450868335784</v>
      </c>
      <c r="E44" s="555">
        <f t="shared" si="19"/>
        <v>0.23447877562806815</v>
      </c>
      <c r="F44" s="555">
        <f t="shared" si="19"/>
        <v>0.23300606867044288</v>
      </c>
      <c r="G44" s="555">
        <f t="shared" si="19"/>
        <v>0.23501362647681298</v>
      </c>
      <c r="H44" s="555">
        <f t="shared" si="19"/>
        <v>0.2429617980284017</v>
      </c>
      <c r="I44" s="555">
        <f t="shared" si="19"/>
        <v>0.25416901408450704</v>
      </c>
      <c r="J44" s="555">
        <f t="shared" si="19"/>
        <v>0.25838964493464273</v>
      </c>
      <c r="K44" s="555">
        <f t="shared" si="19"/>
        <v>0.26852303172853276</v>
      </c>
      <c r="L44" s="1207">
        <v>0.26</v>
      </c>
    </row>
    <row r="45" spans="1:12">
      <c r="A45" s="774" t="s">
        <v>442</v>
      </c>
      <c r="B45" s="555">
        <f t="shared" ref="B45:K45" si="20">B37/B$39</f>
        <v>0.15772492336607521</v>
      </c>
      <c r="C45" s="555">
        <f t="shared" si="20"/>
        <v>0.15781466918274548</v>
      </c>
      <c r="D45" s="555">
        <f t="shared" si="20"/>
        <v>0.15385347552439232</v>
      </c>
      <c r="E45" s="555">
        <f t="shared" si="20"/>
        <v>0.15302369408939617</v>
      </c>
      <c r="F45" s="555">
        <f t="shared" si="20"/>
        <v>0.1474087769662529</v>
      </c>
      <c r="G45" s="555">
        <f t="shared" si="20"/>
        <v>0.14357501531373909</v>
      </c>
      <c r="H45" s="555">
        <f t="shared" si="20"/>
        <v>0.14433499136118194</v>
      </c>
      <c r="I45" s="555">
        <f t="shared" si="20"/>
        <v>0.14294718309859156</v>
      </c>
      <c r="J45" s="555">
        <f t="shared" si="20"/>
        <v>0.14142160484705188</v>
      </c>
      <c r="K45" s="555">
        <f t="shared" si="20"/>
        <v>0.12850726396608295</v>
      </c>
      <c r="L45" s="1207">
        <v>0.14000000000000001</v>
      </c>
    </row>
    <row r="46" spans="1:12">
      <c r="A46" s="865" t="s">
        <v>443</v>
      </c>
      <c r="B46" s="867">
        <f t="shared" ref="B46:K46" si="21">B38/B$39</f>
        <v>0.13120622916340366</v>
      </c>
      <c r="C46" s="867">
        <f t="shared" si="21"/>
        <v>0.12021065232390912</v>
      </c>
      <c r="D46" s="867">
        <f t="shared" si="21"/>
        <v>0.11652237367588211</v>
      </c>
      <c r="E46" s="867">
        <f t="shared" si="21"/>
        <v>0.10967065367721933</v>
      </c>
      <c r="F46" s="867">
        <f t="shared" si="21"/>
        <v>0.10762608756382029</v>
      </c>
      <c r="G46" s="867">
        <f t="shared" si="21"/>
        <v>0.10565562977064237</v>
      </c>
      <c r="H46" s="867">
        <f t="shared" si="21"/>
        <v>0.10395798540598838</v>
      </c>
      <c r="I46" s="867">
        <f t="shared" si="21"/>
        <v>9.9859154929577462E-2</v>
      </c>
      <c r="J46" s="867">
        <f t="shared" si="21"/>
        <v>0.10002418152262987</v>
      </c>
      <c r="K46" s="867">
        <f t="shared" si="21"/>
        <v>6.2112553036275671E-2</v>
      </c>
      <c r="L46" s="1208">
        <v>0.09</v>
      </c>
    </row>
    <row r="55" spans="1:5">
      <c r="A55" s="862" t="s">
        <v>466</v>
      </c>
    </row>
    <row r="58" spans="1:5">
      <c r="A58" s="899" t="s">
        <v>404</v>
      </c>
      <c r="B58" s="1311">
        <f>B70+1</f>
        <v>2020</v>
      </c>
      <c r="C58" s="1312"/>
      <c r="D58" s="1313"/>
      <c r="E58" s="1209"/>
    </row>
    <row r="59" spans="1:5">
      <c r="A59" s="940">
        <v>1</v>
      </c>
      <c r="B59" s="1210" t="s">
        <v>469</v>
      </c>
      <c r="C59" s="1211">
        <v>41736</v>
      </c>
      <c r="D59" s="1212">
        <v>0.13</v>
      </c>
      <c r="E59" s="1089"/>
    </row>
    <row r="60" spans="1:5">
      <c r="A60" s="941">
        <v>2</v>
      </c>
      <c r="B60" s="1213" t="s">
        <v>468</v>
      </c>
      <c r="C60" s="1214">
        <v>40527</v>
      </c>
      <c r="D60" s="1215">
        <v>0.13</v>
      </c>
      <c r="E60" s="1089"/>
    </row>
    <row r="61" spans="1:5">
      <c r="A61" s="941">
        <v>3</v>
      </c>
      <c r="B61" s="1213" t="s">
        <v>470</v>
      </c>
      <c r="C61" s="1214">
        <v>34401</v>
      </c>
      <c r="D61" s="1215">
        <v>0.10871577790354185</v>
      </c>
      <c r="E61" s="1089"/>
    </row>
    <row r="62" spans="1:5">
      <c r="A62" s="941">
        <v>4</v>
      </c>
      <c r="B62" s="1213" t="s">
        <v>471</v>
      </c>
      <c r="C62" s="1214">
        <v>33750</v>
      </c>
      <c r="D62" s="1215">
        <v>0.10687075341771159</v>
      </c>
      <c r="E62" s="1089"/>
    </row>
    <row r="63" spans="1:5">
      <c r="A63" s="941">
        <v>5</v>
      </c>
      <c r="B63" s="1213" t="s">
        <v>443</v>
      </c>
      <c r="C63" s="1214">
        <v>28400</v>
      </c>
      <c r="D63" s="1215">
        <v>0.09</v>
      </c>
      <c r="E63" s="1089"/>
    </row>
    <row r="64" spans="1:5">
      <c r="A64" s="941">
        <v>6</v>
      </c>
      <c r="B64" s="1213" t="s">
        <v>472</v>
      </c>
      <c r="C64" s="1214">
        <v>22843</v>
      </c>
      <c r="D64" s="1215">
        <v>7.0000000000000007E-2</v>
      </c>
      <c r="E64" s="1089"/>
    </row>
    <row r="65" spans="1:5">
      <c r="A65" s="941">
        <v>7</v>
      </c>
      <c r="B65" s="1213" t="s">
        <v>474</v>
      </c>
      <c r="C65" s="1214">
        <v>17144</v>
      </c>
      <c r="D65" s="1215">
        <v>5.2354205445439291E-2</v>
      </c>
      <c r="E65" s="1089"/>
    </row>
    <row r="66" spans="1:5">
      <c r="A66" s="941">
        <v>8</v>
      </c>
      <c r="B66" s="1213" t="s">
        <v>473</v>
      </c>
      <c r="C66" s="1214">
        <v>15872</v>
      </c>
      <c r="D66" s="1215">
        <v>4.716262058903388E-2</v>
      </c>
      <c r="E66" s="1089"/>
    </row>
    <row r="67" spans="1:5">
      <c r="A67" s="941">
        <v>9</v>
      </c>
      <c r="B67" s="1213" t="s">
        <v>476</v>
      </c>
      <c r="C67" s="1214">
        <v>11050</v>
      </c>
      <c r="D67" s="1215">
        <v>0.04</v>
      </c>
      <c r="E67" s="1089"/>
    </row>
    <row r="68" spans="1:5">
      <c r="A68" s="939">
        <v>10</v>
      </c>
      <c r="B68" s="1216" t="s">
        <v>500</v>
      </c>
      <c r="C68" s="1092">
        <v>69710</v>
      </c>
      <c r="D68" s="1217">
        <v>0.19</v>
      </c>
      <c r="E68" s="1089"/>
    </row>
    <row r="70" spans="1:5">
      <c r="A70" s="899" t="s">
        <v>404</v>
      </c>
      <c r="B70" s="1310">
        <v>2019</v>
      </c>
      <c r="C70" s="1304"/>
      <c r="D70" s="1305"/>
    </row>
    <row r="71" spans="1:5">
      <c r="A71" s="940">
        <v>1</v>
      </c>
      <c r="B71" s="942" t="s">
        <v>468</v>
      </c>
      <c r="C71" s="945">
        <v>41400</v>
      </c>
      <c r="D71" s="903">
        <v>0.14264401360286391</v>
      </c>
    </row>
    <row r="72" spans="1:5">
      <c r="A72" s="941">
        <v>2</v>
      </c>
      <c r="B72" s="943" t="s">
        <v>469</v>
      </c>
      <c r="C72" s="946">
        <v>35771</v>
      </c>
      <c r="D72" s="905">
        <v>0.14000000000000001</v>
      </c>
    </row>
    <row r="73" spans="1:5">
      <c r="A73" s="941">
        <v>3</v>
      </c>
      <c r="B73" s="943" t="s">
        <v>470</v>
      </c>
      <c r="C73" s="946">
        <v>31050</v>
      </c>
      <c r="D73" s="905">
        <v>0.10698301020214793</v>
      </c>
    </row>
    <row r="74" spans="1:5">
      <c r="A74" s="941">
        <v>4</v>
      </c>
      <c r="B74" s="943" t="s">
        <v>471</v>
      </c>
      <c r="C74" s="946">
        <v>30632</v>
      </c>
      <c r="D74" s="905">
        <v>0.1055427880358195</v>
      </c>
    </row>
    <row r="75" spans="1:5">
      <c r="A75" s="941">
        <v>5</v>
      </c>
      <c r="B75" s="943" t="s">
        <v>443</v>
      </c>
      <c r="C75" s="946">
        <v>23237</v>
      </c>
      <c r="D75" s="905">
        <v>0.06</v>
      </c>
    </row>
    <row r="76" spans="1:5">
      <c r="A76" s="941">
        <v>6</v>
      </c>
      <c r="B76" s="943" t="s">
        <v>472</v>
      </c>
      <c r="C76" s="946">
        <v>19962</v>
      </c>
      <c r="D76" s="905">
        <v>0.06</v>
      </c>
    </row>
    <row r="77" spans="1:5">
      <c r="A77" s="941">
        <v>7</v>
      </c>
      <c r="B77" s="943" t="s">
        <v>473</v>
      </c>
      <c r="C77" s="946">
        <v>16275</v>
      </c>
      <c r="D77" s="905">
        <v>0.05</v>
      </c>
    </row>
    <row r="78" spans="1:5">
      <c r="A78" s="941">
        <v>8</v>
      </c>
      <c r="B78" s="943" t="s">
        <v>474</v>
      </c>
      <c r="C78" s="946">
        <v>12841</v>
      </c>
      <c r="D78" s="905">
        <v>0.05</v>
      </c>
    </row>
    <row r="79" spans="1:5">
      <c r="A79" s="941">
        <v>9</v>
      </c>
      <c r="B79" s="943" t="s">
        <v>476</v>
      </c>
      <c r="C79" s="946">
        <v>10252</v>
      </c>
      <c r="D79" s="905">
        <v>3.5323343658371031E-2</v>
      </c>
    </row>
    <row r="80" spans="1:5">
      <c r="A80" s="939">
        <v>10</v>
      </c>
      <c r="B80" s="944" t="s">
        <v>475</v>
      </c>
      <c r="C80" s="848">
        <v>10158</v>
      </c>
      <c r="D80" s="901">
        <v>0.04</v>
      </c>
    </row>
  </sheetData>
  <mergeCells count="2">
    <mergeCell ref="B70:D70"/>
    <mergeCell ref="B58:D58"/>
  </mergeCells>
  <hyperlinks>
    <hyperlink ref="L1" location="Content!A1" display="ToC" xr:uid="{88CA68DF-BE3E-4AB3-999F-499C6DF44349}"/>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B42F-300B-40B4-A62B-B6E7D2479048}">
  <dimension ref="A1:AO43"/>
  <sheetViews>
    <sheetView zoomScale="80" zoomScaleNormal="80" workbookViewId="0">
      <pane xSplit="1" ySplit="5" topLeftCell="AD6" activePane="bottomRight" state="frozenSplit"/>
      <selection pane="topRight" activeCell="AK1" sqref="AK1"/>
      <selection pane="bottomLeft" activeCell="A23" sqref="A23"/>
      <selection pane="bottomRight" activeCell="AG50" sqref="AG50"/>
    </sheetView>
  </sheetViews>
  <sheetFormatPr defaultRowHeight="15"/>
  <cols>
    <col min="1" max="1" width="39.85546875" customWidth="1"/>
    <col min="2" max="2" width="32.5703125" customWidth="1"/>
    <col min="11" max="11" width="43.140625" customWidth="1"/>
    <col min="16" max="16" width="43.140625" customWidth="1"/>
    <col min="18" max="18" width="43.5703125" customWidth="1"/>
    <col min="22" max="22" width="43.7109375" customWidth="1"/>
    <col min="25" max="25" width="44.140625" customWidth="1"/>
    <col min="27" max="27" width="34.5703125" customWidth="1"/>
    <col min="29" max="29" width="44.7109375" customWidth="1"/>
    <col min="31" max="31" width="44.7109375" customWidth="1"/>
    <col min="33" max="33" width="43.140625" customWidth="1"/>
    <col min="35" max="35" width="44.140625" customWidth="1"/>
    <col min="37" max="37" width="43.7109375" customWidth="1"/>
    <col min="38" max="40" width="10.7109375" customWidth="1"/>
    <col min="41" max="41" width="10.5703125" style="1086" customWidth="1"/>
  </cols>
  <sheetData>
    <row r="1" spans="1:41" ht="21">
      <c r="A1" s="496" t="s">
        <v>32</v>
      </c>
      <c r="AN1" s="888" t="s">
        <v>458</v>
      </c>
    </row>
    <row r="2" spans="1:41" ht="18.75">
      <c r="A2" s="495" t="s">
        <v>128</v>
      </c>
    </row>
    <row r="3" spans="1:41" ht="18.75">
      <c r="A3" s="495" t="s">
        <v>365</v>
      </c>
    </row>
    <row r="5" spans="1:41">
      <c r="A5" s="515" t="s">
        <v>34</v>
      </c>
      <c r="B5" s="518" t="s">
        <v>135</v>
      </c>
      <c r="C5" s="524">
        <v>1996</v>
      </c>
      <c r="D5" s="524">
        <v>1997</v>
      </c>
      <c r="E5" s="524">
        <v>1998</v>
      </c>
      <c r="F5" s="524">
        <v>1999</v>
      </c>
      <c r="G5" s="524">
        <v>2000</v>
      </c>
      <c r="H5" s="524">
        <v>2001</v>
      </c>
      <c r="I5" s="524">
        <v>2002</v>
      </c>
      <c r="J5" s="521">
        <v>2003</v>
      </c>
      <c r="K5" s="516" t="s">
        <v>136</v>
      </c>
      <c r="L5" s="524">
        <v>2003</v>
      </c>
      <c r="M5" s="524">
        <v>2004</v>
      </c>
      <c r="N5" s="524">
        <v>2005</v>
      </c>
      <c r="O5" s="527">
        <v>2006</v>
      </c>
      <c r="P5" s="516"/>
      <c r="Q5" s="527">
        <v>2007</v>
      </c>
      <c r="R5" s="516"/>
      <c r="S5" s="524">
        <v>2008</v>
      </c>
      <c r="T5" s="524">
        <v>2009</v>
      </c>
      <c r="U5" s="527">
        <v>2010</v>
      </c>
      <c r="V5" s="516"/>
      <c r="W5" s="524">
        <v>2011</v>
      </c>
      <c r="X5" s="527">
        <v>2012</v>
      </c>
      <c r="Y5" s="516"/>
      <c r="Z5" s="527">
        <v>2013</v>
      </c>
      <c r="AA5" s="516"/>
      <c r="AB5" s="527">
        <v>2014</v>
      </c>
      <c r="AC5" s="516"/>
      <c r="AD5" s="527">
        <v>2015</v>
      </c>
      <c r="AE5" s="516"/>
      <c r="AF5" s="527">
        <v>2016</v>
      </c>
      <c r="AG5" s="516"/>
      <c r="AH5" s="527">
        <v>2017</v>
      </c>
      <c r="AI5" s="516"/>
      <c r="AJ5" s="527">
        <v>2018</v>
      </c>
      <c r="AK5" s="516"/>
      <c r="AL5" s="515">
        <v>2019</v>
      </c>
      <c r="AM5" s="524">
        <v>2020</v>
      </c>
      <c r="AN5" s="517">
        <v>2021</v>
      </c>
      <c r="AO5" s="1187">
        <v>2022</v>
      </c>
    </row>
    <row r="6" spans="1:41">
      <c r="A6" s="498" t="s">
        <v>129</v>
      </c>
      <c r="B6" s="519" t="s">
        <v>137</v>
      </c>
      <c r="C6" s="525">
        <v>684</v>
      </c>
      <c r="D6" s="525">
        <v>687</v>
      </c>
      <c r="E6" s="525">
        <v>741</v>
      </c>
      <c r="F6" s="525">
        <v>818</v>
      </c>
      <c r="G6" s="525">
        <v>877</v>
      </c>
      <c r="H6" s="525">
        <v>981</v>
      </c>
      <c r="I6" s="525">
        <v>610</v>
      </c>
      <c r="J6" s="522"/>
      <c r="K6" s="499" t="s">
        <v>137</v>
      </c>
      <c r="L6" s="525">
        <v>666</v>
      </c>
      <c r="M6" s="525">
        <v>711.67</v>
      </c>
      <c r="N6" s="525">
        <v>728</v>
      </c>
      <c r="O6" s="505">
        <v>771</v>
      </c>
      <c r="P6" s="499" t="s">
        <v>138</v>
      </c>
      <c r="Q6" s="505">
        <v>632</v>
      </c>
      <c r="R6" s="499" t="s">
        <v>138</v>
      </c>
      <c r="S6" s="525">
        <v>668</v>
      </c>
      <c r="T6" s="525">
        <v>725</v>
      </c>
      <c r="U6" s="505">
        <v>765</v>
      </c>
      <c r="V6" s="499" t="s">
        <v>139</v>
      </c>
      <c r="W6" s="525">
        <v>66</v>
      </c>
      <c r="X6" s="505">
        <v>61</v>
      </c>
      <c r="Y6" s="499" t="s">
        <v>139</v>
      </c>
      <c r="Z6" s="505">
        <v>65</v>
      </c>
      <c r="AA6" s="499" t="s">
        <v>139</v>
      </c>
      <c r="AB6" s="505">
        <v>59</v>
      </c>
      <c r="AC6" s="499" t="s">
        <v>139</v>
      </c>
      <c r="AD6" s="505">
        <v>65.986000000000004</v>
      </c>
      <c r="AE6" s="499" t="s">
        <v>139</v>
      </c>
      <c r="AF6" s="505">
        <v>68</v>
      </c>
      <c r="AG6" s="499" t="s">
        <v>139</v>
      </c>
      <c r="AH6" s="505">
        <v>63.033999999999999</v>
      </c>
      <c r="AI6" s="499" t="s">
        <v>139</v>
      </c>
      <c r="AJ6" s="505">
        <v>49</v>
      </c>
      <c r="AK6" s="499" t="s">
        <v>139</v>
      </c>
      <c r="AL6" s="528">
        <v>48.941000000000003</v>
      </c>
      <c r="AM6" s="529">
        <v>51</v>
      </c>
      <c r="AN6" s="530">
        <v>52.594999999999999</v>
      </c>
      <c r="AO6" s="1218">
        <v>53</v>
      </c>
    </row>
    <row r="7" spans="1:41">
      <c r="A7" s="498" t="s">
        <v>130</v>
      </c>
      <c r="B7" s="519" t="s">
        <v>140</v>
      </c>
      <c r="C7" s="525">
        <v>88</v>
      </c>
      <c r="D7" s="525">
        <v>88</v>
      </c>
      <c r="E7" s="525">
        <v>60</v>
      </c>
      <c r="F7" s="525">
        <v>67</v>
      </c>
      <c r="G7" s="525">
        <v>79</v>
      </c>
      <c r="H7" s="525">
        <v>99</v>
      </c>
      <c r="I7" s="525">
        <v>50</v>
      </c>
      <c r="J7" s="522"/>
      <c r="K7" s="499" t="s">
        <v>141</v>
      </c>
      <c r="L7" s="525">
        <v>58</v>
      </c>
      <c r="M7" s="525">
        <v>66.798000000000002</v>
      </c>
      <c r="N7" s="525">
        <v>68</v>
      </c>
      <c r="O7" s="505">
        <v>81</v>
      </c>
      <c r="P7" s="499" t="s">
        <v>142</v>
      </c>
      <c r="Q7" s="505">
        <v>238</v>
      </c>
      <c r="R7" s="499" t="s">
        <v>142</v>
      </c>
      <c r="S7" s="525">
        <v>203</v>
      </c>
      <c r="T7" s="525">
        <v>226</v>
      </c>
      <c r="U7" s="505">
        <v>252</v>
      </c>
      <c r="V7" s="499" t="s">
        <v>143</v>
      </c>
      <c r="W7" s="525">
        <v>735</v>
      </c>
      <c r="X7" s="505">
        <v>730</v>
      </c>
      <c r="Y7" s="499" t="s">
        <v>143</v>
      </c>
      <c r="Z7" s="505">
        <v>776</v>
      </c>
      <c r="AA7" s="499" t="s">
        <v>143</v>
      </c>
      <c r="AB7" s="505">
        <v>853</v>
      </c>
      <c r="AC7" s="499" t="s">
        <v>143</v>
      </c>
      <c r="AD7" s="505">
        <v>870.71199999999999</v>
      </c>
      <c r="AE7" s="499" t="s">
        <v>143</v>
      </c>
      <c r="AF7" s="505">
        <v>862</v>
      </c>
      <c r="AG7" s="499" t="s">
        <v>143</v>
      </c>
      <c r="AH7" s="505">
        <v>866.22900000000004</v>
      </c>
      <c r="AI7" s="499" t="s">
        <v>143</v>
      </c>
      <c r="AJ7" s="505">
        <v>828</v>
      </c>
      <c r="AK7" s="499" t="s">
        <v>143</v>
      </c>
      <c r="AL7" s="528">
        <v>830.596</v>
      </c>
      <c r="AM7" s="529">
        <v>893</v>
      </c>
      <c r="AN7" s="530">
        <v>982.16099999999994</v>
      </c>
      <c r="AO7" s="1218">
        <v>969</v>
      </c>
    </row>
    <row r="8" spans="1:41">
      <c r="A8" s="498"/>
      <c r="B8" s="519" t="s">
        <v>144</v>
      </c>
      <c r="C8" s="525">
        <v>101</v>
      </c>
      <c r="D8" s="525">
        <v>68</v>
      </c>
      <c r="E8" s="525">
        <v>68</v>
      </c>
      <c r="F8" s="525">
        <v>78</v>
      </c>
      <c r="G8" s="525">
        <v>87</v>
      </c>
      <c r="H8" s="525">
        <v>105</v>
      </c>
      <c r="I8" s="525">
        <v>72</v>
      </c>
      <c r="J8" s="522"/>
      <c r="K8" s="499" t="s">
        <v>145</v>
      </c>
      <c r="L8" s="525">
        <v>91</v>
      </c>
      <c r="M8" s="525">
        <v>85.096999999999994</v>
      </c>
      <c r="N8" s="525">
        <v>89</v>
      </c>
      <c r="O8" s="505">
        <v>96</v>
      </c>
      <c r="P8" s="499" t="s">
        <v>146</v>
      </c>
      <c r="Q8" s="505">
        <v>55</v>
      </c>
      <c r="R8" s="499" t="s">
        <v>147</v>
      </c>
      <c r="S8" s="525">
        <v>18</v>
      </c>
      <c r="T8" s="525">
        <v>21</v>
      </c>
      <c r="U8" s="505">
        <v>23</v>
      </c>
      <c r="V8" s="499" t="s">
        <v>148</v>
      </c>
      <c r="W8" s="525">
        <v>348</v>
      </c>
      <c r="X8" s="505">
        <v>350</v>
      </c>
      <c r="Y8" s="499" t="s">
        <v>148</v>
      </c>
      <c r="Z8" s="505">
        <v>355</v>
      </c>
      <c r="AA8" s="499" t="s">
        <v>148</v>
      </c>
      <c r="AB8" s="505">
        <v>353</v>
      </c>
      <c r="AC8" s="499" t="s">
        <v>148</v>
      </c>
      <c r="AD8" s="505">
        <v>363.185</v>
      </c>
      <c r="AE8" s="499" t="s">
        <v>148</v>
      </c>
      <c r="AF8" s="505">
        <v>386</v>
      </c>
      <c r="AG8" s="499" t="s">
        <v>148</v>
      </c>
      <c r="AH8" s="505">
        <v>425.48700000000002</v>
      </c>
      <c r="AI8" s="499" t="s">
        <v>148</v>
      </c>
      <c r="AJ8" s="505">
        <v>534</v>
      </c>
      <c r="AK8" s="499" t="s">
        <v>148</v>
      </c>
      <c r="AL8" s="528">
        <v>527.11500000000001</v>
      </c>
      <c r="AM8" s="529">
        <v>556</v>
      </c>
      <c r="AN8" s="530">
        <v>553.07600000000002</v>
      </c>
      <c r="AO8" s="1218">
        <v>469</v>
      </c>
    </row>
    <row r="9" spans="1:41">
      <c r="A9" s="498"/>
      <c r="B9" s="519" t="s">
        <v>149</v>
      </c>
      <c r="C9" s="525">
        <v>21</v>
      </c>
      <c r="D9" s="525">
        <v>27</v>
      </c>
      <c r="E9" s="525">
        <v>30</v>
      </c>
      <c r="F9" s="525">
        <v>25</v>
      </c>
      <c r="G9" s="525">
        <v>30</v>
      </c>
      <c r="H9" s="525">
        <v>28</v>
      </c>
      <c r="I9" s="525">
        <v>28</v>
      </c>
      <c r="J9" s="522"/>
      <c r="K9" s="499" t="s">
        <v>150</v>
      </c>
      <c r="L9" s="525">
        <v>26</v>
      </c>
      <c r="M9" s="525">
        <v>27.213999999999999</v>
      </c>
      <c r="N9" s="525">
        <v>26</v>
      </c>
      <c r="O9" s="505">
        <v>26</v>
      </c>
      <c r="P9" s="499" t="s">
        <v>151</v>
      </c>
      <c r="Q9" s="505">
        <v>59</v>
      </c>
      <c r="R9" s="499" t="s">
        <v>146</v>
      </c>
      <c r="S9" s="525">
        <v>53</v>
      </c>
      <c r="T9" s="525">
        <v>50</v>
      </c>
      <c r="U9" s="505">
        <v>48</v>
      </c>
      <c r="V9" s="499" t="s">
        <v>152</v>
      </c>
      <c r="W9" s="525">
        <v>50</v>
      </c>
      <c r="X9" s="505">
        <v>51</v>
      </c>
      <c r="Y9" s="499" t="s">
        <v>152</v>
      </c>
      <c r="Z9" s="505">
        <v>53</v>
      </c>
      <c r="AA9" s="499" t="s">
        <v>152</v>
      </c>
      <c r="AB9" s="505">
        <v>59</v>
      </c>
      <c r="AC9" s="499" t="s">
        <v>152</v>
      </c>
      <c r="AD9" s="505">
        <v>60.534999999999997</v>
      </c>
      <c r="AE9" s="499" t="s">
        <v>152</v>
      </c>
      <c r="AF9" s="505">
        <v>62</v>
      </c>
      <c r="AG9" s="499" t="s">
        <v>152</v>
      </c>
      <c r="AH9" s="505">
        <v>64.631</v>
      </c>
      <c r="AI9" s="499" t="s">
        <v>152</v>
      </c>
      <c r="AJ9" s="505">
        <v>64</v>
      </c>
      <c r="AK9" s="499" t="s">
        <v>152</v>
      </c>
      <c r="AL9" s="528">
        <v>65.16</v>
      </c>
      <c r="AM9" s="529">
        <v>45</v>
      </c>
      <c r="AN9" s="530">
        <v>100.569</v>
      </c>
      <c r="AO9" s="1218">
        <v>88</v>
      </c>
    </row>
    <row r="10" spans="1:41">
      <c r="A10" s="498"/>
      <c r="B10" s="519" t="s">
        <v>153</v>
      </c>
      <c r="C10" s="525">
        <v>40</v>
      </c>
      <c r="D10" s="525">
        <v>26</v>
      </c>
      <c r="E10" s="525">
        <v>15</v>
      </c>
      <c r="F10" s="525">
        <v>15</v>
      </c>
      <c r="G10" s="525">
        <v>3</v>
      </c>
      <c r="H10" s="525">
        <v>2</v>
      </c>
      <c r="I10" s="525">
        <v>35</v>
      </c>
      <c r="J10" s="522"/>
      <c r="K10" s="499" t="s">
        <v>154</v>
      </c>
      <c r="L10" s="525">
        <v>42</v>
      </c>
      <c r="M10" s="525">
        <v>40.848999999999997</v>
      </c>
      <c r="N10" s="525">
        <v>42</v>
      </c>
      <c r="O10" s="505">
        <v>46</v>
      </c>
      <c r="P10" s="499" t="s">
        <v>155</v>
      </c>
      <c r="Q10" s="505">
        <v>80</v>
      </c>
      <c r="R10" s="499" t="s">
        <v>151</v>
      </c>
      <c r="S10" s="525">
        <v>60</v>
      </c>
      <c r="T10" s="525">
        <v>58</v>
      </c>
      <c r="U10" s="505">
        <v>60</v>
      </c>
      <c r="V10" s="499" t="s">
        <v>156</v>
      </c>
      <c r="W10" s="525">
        <v>65</v>
      </c>
      <c r="X10" s="505">
        <v>64</v>
      </c>
      <c r="Y10" s="499" t="s">
        <v>156</v>
      </c>
      <c r="Z10" s="505">
        <v>68</v>
      </c>
      <c r="AA10" s="499" t="s">
        <v>156</v>
      </c>
      <c r="AB10" s="505">
        <v>73</v>
      </c>
      <c r="AC10" s="499" t="s">
        <v>156</v>
      </c>
      <c r="AD10" s="505">
        <v>68.683000000000007</v>
      </c>
      <c r="AE10" s="499" t="s">
        <v>156</v>
      </c>
      <c r="AF10" s="505">
        <v>63</v>
      </c>
      <c r="AG10" s="499" t="s">
        <v>156</v>
      </c>
      <c r="AH10" s="505">
        <v>67.075999999999993</v>
      </c>
      <c r="AI10" s="499" t="s">
        <v>156</v>
      </c>
      <c r="AJ10" s="505">
        <v>70</v>
      </c>
      <c r="AK10" s="499" t="s">
        <v>156</v>
      </c>
      <c r="AL10" s="528">
        <v>80.525999999999996</v>
      </c>
      <c r="AM10" s="529">
        <v>91</v>
      </c>
      <c r="AN10" s="530">
        <v>104.94</v>
      </c>
      <c r="AO10" s="1218">
        <v>98</v>
      </c>
    </row>
    <row r="11" spans="1:41">
      <c r="A11" s="498"/>
      <c r="B11" s="519"/>
      <c r="C11" s="525"/>
      <c r="D11" s="525"/>
      <c r="E11" s="525"/>
      <c r="F11" s="525"/>
      <c r="G11" s="525"/>
      <c r="H11" s="525"/>
      <c r="I11" s="525"/>
      <c r="J11" s="522"/>
      <c r="K11" s="499"/>
      <c r="L11" s="525"/>
      <c r="M11" s="525"/>
      <c r="N11" s="525"/>
      <c r="O11" s="505"/>
      <c r="P11" s="499" t="s">
        <v>157</v>
      </c>
      <c r="Q11" s="505">
        <v>46</v>
      </c>
      <c r="R11" s="499" t="s">
        <v>155</v>
      </c>
      <c r="S11" s="525">
        <v>73</v>
      </c>
      <c r="T11" s="525">
        <v>66</v>
      </c>
      <c r="U11" s="505">
        <v>58</v>
      </c>
      <c r="V11" s="499" t="s">
        <v>158</v>
      </c>
      <c r="W11" s="525">
        <v>57</v>
      </c>
      <c r="X11" s="505">
        <v>69</v>
      </c>
      <c r="Y11" s="499" t="s">
        <v>158</v>
      </c>
      <c r="Z11" s="505">
        <v>62</v>
      </c>
      <c r="AA11" s="499" t="s">
        <v>158</v>
      </c>
      <c r="AB11" s="505">
        <v>58</v>
      </c>
      <c r="AC11" s="499" t="s">
        <v>158</v>
      </c>
      <c r="AD11" s="505">
        <v>56.774000000000001</v>
      </c>
      <c r="AE11" s="499" t="s">
        <v>158</v>
      </c>
      <c r="AF11" s="505">
        <v>53</v>
      </c>
      <c r="AG11" s="499" t="s">
        <v>158</v>
      </c>
      <c r="AH11" s="505">
        <v>53.584000000000003</v>
      </c>
      <c r="AI11" s="499" t="s">
        <v>158</v>
      </c>
      <c r="AJ11" s="505">
        <v>52</v>
      </c>
      <c r="AK11" s="499" t="s">
        <v>158</v>
      </c>
      <c r="AL11" s="528">
        <v>57.273000000000003</v>
      </c>
      <c r="AM11" s="529">
        <v>47</v>
      </c>
      <c r="AN11" s="530">
        <v>54.121000000000002</v>
      </c>
      <c r="AO11" s="1218">
        <v>49</v>
      </c>
    </row>
    <row r="12" spans="1:41">
      <c r="A12" s="498"/>
      <c r="B12" s="519"/>
      <c r="C12" s="525"/>
      <c r="D12" s="525"/>
      <c r="E12" s="525"/>
      <c r="F12" s="525"/>
      <c r="G12" s="525"/>
      <c r="H12" s="525"/>
      <c r="I12" s="525"/>
      <c r="J12" s="522"/>
      <c r="K12" s="499"/>
      <c r="L12" s="525"/>
      <c r="M12" s="525"/>
      <c r="N12" s="525"/>
      <c r="O12" s="505"/>
      <c r="P12" s="499" t="s">
        <v>159</v>
      </c>
      <c r="Q12" s="505">
        <v>25</v>
      </c>
      <c r="R12" s="499" t="s">
        <v>157</v>
      </c>
      <c r="S12" s="525">
        <v>47</v>
      </c>
      <c r="T12" s="525">
        <v>50</v>
      </c>
      <c r="U12" s="505">
        <v>47</v>
      </c>
      <c r="V12" s="499" t="s">
        <v>160</v>
      </c>
      <c r="W12" s="525">
        <v>31</v>
      </c>
      <c r="X12" s="505">
        <v>40</v>
      </c>
      <c r="Y12" s="499" t="s">
        <v>160</v>
      </c>
      <c r="Z12" s="505">
        <v>37</v>
      </c>
      <c r="AA12" s="499" t="s">
        <v>160</v>
      </c>
      <c r="AB12" s="505">
        <v>37</v>
      </c>
      <c r="AC12" s="499" t="s">
        <v>160</v>
      </c>
      <c r="AD12" s="505">
        <v>36.381999999999998</v>
      </c>
      <c r="AE12" s="499" t="s">
        <v>160</v>
      </c>
      <c r="AF12" s="505">
        <v>40</v>
      </c>
      <c r="AG12" s="499" t="s">
        <v>160</v>
      </c>
      <c r="AH12" s="505">
        <v>36.009</v>
      </c>
      <c r="AI12" s="499" t="s">
        <v>160</v>
      </c>
      <c r="AJ12" s="505">
        <v>41</v>
      </c>
      <c r="AK12" s="499" t="s">
        <v>160</v>
      </c>
      <c r="AL12" s="528">
        <v>47.338999999999999</v>
      </c>
      <c r="AM12" s="529">
        <v>36</v>
      </c>
      <c r="AN12" s="530">
        <v>41.033999999999999</v>
      </c>
      <c r="AO12" s="1218">
        <v>44</v>
      </c>
    </row>
    <row r="13" spans="1:41">
      <c r="A13" s="498"/>
      <c r="B13" s="519"/>
      <c r="C13" s="525"/>
      <c r="D13" s="525"/>
      <c r="E13" s="525"/>
      <c r="F13" s="525"/>
      <c r="G13" s="525"/>
      <c r="H13" s="525"/>
      <c r="I13" s="525"/>
      <c r="J13" s="522"/>
      <c r="K13" s="499"/>
      <c r="L13" s="525"/>
      <c r="M13" s="525"/>
      <c r="N13" s="525"/>
      <c r="O13" s="505"/>
      <c r="P13" s="499" t="s">
        <v>161</v>
      </c>
      <c r="Q13" s="505">
        <v>46</v>
      </c>
      <c r="R13" s="499" t="s">
        <v>162</v>
      </c>
      <c r="S13" s="525">
        <v>25</v>
      </c>
      <c r="T13" s="525">
        <v>20</v>
      </c>
      <c r="U13" s="505">
        <v>22</v>
      </c>
      <c r="V13" s="499" t="s">
        <v>163</v>
      </c>
      <c r="W13" s="525">
        <v>12</v>
      </c>
      <c r="X13" s="505">
        <v>12</v>
      </c>
      <c r="Y13" s="499" t="s">
        <v>163</v>
      </c>
      <c r="Z13" s="505">
        <v>12</v>
      </c>
      <c r="AA13" s="499" t="s">
        <v>163</v>
      </c>
      <c r="AB13" s="505">
        <v>11</v>
      </c>
      <c r="AC13" s="499" t="s">
        <v>163</v>
      </c>
      <c r="AD13" s="505">
        <v>10.882999999999999</v>
      </c>
      <c r="AE13" s="499" t="s">
        <v>163</v>
      </c>
      <c r="AF13" s="505">
        <v>10</v>
      </c>
      <c r="AG13" s="499" t="s">
        <v>163</v>
      </c>
      <c r="AH13" s="505">
        <v>10.242000000000001</v>
      </c>
      <c r="AI13" s="499" t="s">
        <v>163</v>
      </c>
      <c r="AJ13" s="505">
        <v>12</v>
      </c>
      <c r="AK13" s="499" t="s">
        <v>163</v>
      </c>
      <c r="AL13" s="528">
        <v>11.18</v>
      </c>
      <c r="AM13" s="529">
        <v>9</v>
      </c>
      <c r="AN13" s="530">
        <v>7.7889999999999997</v>
      </c>
      <c r="AO13" s="1218">
        <v>7</v>
      </c>
    </row>
    <row r="14" spans="1:41">
      <c r="A14" s="498"/>
      <c r="B14" s="519" t="s">
        <v>164</v>
      </c>
      <c r="C14" s="525">
        <v>85</v>
      </c>
      <c r="D14" s="525">
        <v>86</v>
      </c>
      <c r="E14" s="525">
        <v>90</v>
      </c>
      <c r="F14" s="525">
        <v>69</v>
      </c>
      <c r="G14" s="525">
        <v>90</v>
      </c>
      <c r="H14" s="525">
        <v>96</v>
      </c>
      <c r="I14" s="525"/>
      <c r="J14" s="522"/>
      <c r="K14" s="499"/>
      <c r="L14" s="525"/>
      <c r="M14" s="525"/>
      <c r="N14" s="525"/>
      <c r="O14" s="505"/>
      <c r="P14" s="499" t="s">
        <v>165</v>
      </c>
      <c r="Q14" s="505">
        <v>607</v>
      </c>
      <c r="R14" s="499" t="s">
        <v>161</v>
      </c>
      <c r="S14" s="525">
        <v>54</v>
      </c>
      <c r="T14" s="525">
        <v>52</v>
      </c>
      <c r="U14" s="505">
        <v>59</v>
      </c>
      <c r="V14" s="499"/>
      <c r="W14" s="525"/>
      <c r="X14" s="505">
        <v>0</v>
      </c>
      <c r="Y14" s="499"/>
      <c r="Z14" s="505">
        <v>0</v>
      </c>
      <c r="AA14" s="499"/>
      <c r="AB14" s="505">
        <v>0</v>
      </c>
      <c r="AC14" s="499"/>
      <c r="AD14" s="505">
        <v>0</v>
      </c>
      <c r="AE14" s="499"/>
      <c r="AF14" s="505">
        <v>0</v>
      </c>
      <c r="AG14" s="499"/>
      <c r="AH14" s="505">
        <v>0</v>
      </c>
      <c r="AI14" s="499"/>
      <c r="AJ14" s="505">
        <v>0</v>
      </c>
      <c r="AK14" s="499"/>
      <c r="AL14" s="528">
        <v>0</v>
      </c>
      <c r="AM14" s="529"/>
      <c r="AN14" s="530"/>
      <c r="AO14" s="1099"/>
    </row>
    <row r="15" spans="1:41">
      <c r="A15" s="501"/>
      <c r="B15" s="520" t="s">
        <v>166</v>
      </c>
      <c r="C15" s="526">
        <v>1019</v>
      </c>
      <c r="D15" s="526">
        <v>982</v>
      </c>
      <c r="E15" s="526">
        <v>1004</v>
      </c>
      <c r="F15" s="526">
        <v>1072</v>
      </c>
      <c r="G15" s="526">
        <v>1166</v>
      </c>
      <c r="H15" s="526">
        <v>1311</v>
      </c>
      <c r="I15" s="526">
        <v>795</v>
      </c>
      <c r="J15" s="523"/>
      <c r="K15" s="502" t="s">
        <v>166</v>
      </c>
      <c r="L15" s="526">
        <v>883</v>
      </c>
      <c r="M15" s="526">
        <v>931.62800000000004</v>
      </c>
      <c r="N15" s="526">
        <v>953</v>
      </c>
      <c r="O15" s="509">
        <v>1020</v>
      </c>
      <c r="P15" s="502"/>
      <c r="Q15" s="509">
        <v>1788</v>
      </c>
      <c r="R15" s="502"/>
      <c r="S15" s="526">
        <v>1201</v>
      </c>
      <c r="T15" s="526">
        <v>1268</v>
      </c>
      <c r="U15" s="509">
        <v>1334</v>
      </c>
      <c r="V15" s="502"/>
      <c r="W15" s="526">
        <v>1364</v>
      </c>
      <c r="X15" s="509">
        <v>1377</v>
      </c>
      <c r="Y15" s="502"/>
      <c r="Z15" s="509">
        <v>1428</v>
      </c>
      <c r="AA15" s="502"/>
      <c r="AB15" s="509">
        <v>1503</v>
      </c>
      <c r="AC15" s="502"/>
      <c r="AD15" s="509">
        <v>1533.14</v>
      </c>
      <c r="AE15" s="502"/>
      <c r="AF15" s="509">
        <v>1544</v>
      </c>
      <c r="AG15" s="502"/>
      <c r="AH15" s="509">
        <v>1586.2919999999999</v>
      </c>
      <c r="AI15" s="502"/>
      <c r="AJ15" s="509">
        <v>1650</v>
      </c>
      <c r="AK15" s="502"/>
      <c r="AL15" s="531">
        <v>1668.13</v>
      </c>
      <c r="AM15" s="532">
        <f>SUM(AM6:AM13)</f>
        <v>1728</v>
      </c>
      <c r="AN15" s="532">
        <v>1896.2850000000001</v>
      </c>
      <c r="AO15" s="1219">
        <f>SUM(AO6:AO14)</f>
        <v>1777</v>
      </c>
    </row>
    <row r="16" spans="1:41">
      <c r="A16" s="498" t="s">
        <v>38</v>
      </c>
      <c r="B16" s="519" t="s">
        <v>137</v>
      </c>
      <c r="C16" s="525">
        <v>27180</v>
      </c>
      <c r="D16" s="525">
        <v>28513</v>
      </c>
      <c r="E16" s="525">
        <v>28932</v>
      </c>
      <c r="F16" s="525">
        <v>29381</v>
      </c>
      <c r="G16" s="525">
        <v>29196</v>
      </c>
      <c r="H16" s="525">
        <v>28829</v>
      </c>
      <c r="I16" s="525">
        <v>29350</v>
      </c>
      <c r="J16" s="522">
        <v>29154</v>
      </c>
      <c r="K16" s="499" t="s">
        <v>167</v>
      </c>
      <c r="L16" s="525"/>
      <c r="M16" s="525">
        <v>38172</v>
      </c>
      <c r="N16" s="525">
        <v>41551</v>
      </c>
      <c r="O16" s="505">
        <v>41467</v>
      </c>
      <c r="P16" s="499" t="s">
        <v>167</v>
      </c>
      <c r="Q16" s="505">
        <v>42332</v>
      </c>
      <c r="R16" s="499" t="s">
        <v>167</v>
      </c>
      <c r="S16" s="525">
        <v>43493.512999999999</v>
      </c>
      <c r="T16" s="525">
        <v>45371</v>
      </c>
      <c r="U16" s="505">
        <v>44939.735000000001</v>
      </c>
      <c r="V16" s="499" t="s">
        <v>167</v>
      </c>
      <c r="W16" s="525">
        <v>43839</v>
      </c>
      <c r="X16" s="505">
        <v>43268.779000000002</v>
      </c>
      <c r="Y16" s="499" t="s">
        <v>167</v>
      </c>
      <c r="Z16" s="505">
        <v>44604</v>
      </c>
      <c r="AA16" s="499" t="s">
        <v>167</v>
      </c>
      <c r="AB16" s="505">
        <v>44615</v>
      </c>
      <c r="AC16" s="499" t="s">
        <v>167</v>
      </c>
      <c r="AD16" s="505">
        <v>47106</v>
      </c>
      <c r="AE16" s="499" t="s">
        <v>167</v>
      </c>
      <c r="AF16" s="505">
        <v>46381</v>
      </c>
      <c r="AG16" s="499" t="s">
        <v>167</v>
      </c>
      <c r="AH16" s="505">
        <v>47155</v>
      </c>
      <c r="AI16" s="499" t="s">
        <v>167</v>
      </c>
      <c r="AJ16" s="505">
        <v>50044</v>
      </c>
      <c r="AK16" s="499" t="s">
        <v>167</v>
      </c>
      <c r="AL16" s="528">
        <v>52819.661</v>
      </c>
      <c r="AM16" s="529">
        <v>52898</v>
      </c>
      <c r="AN16" s="530">
        <v>51693</v>
      </c>
      <c r="AO16" s="1220">
        <v>49745</v>
      </c>
    </row>
    <row r="17" spans="1:41">
      <c r="A17" s="498" t="s">
        <v>131</v>
      </c>
      <c r="B17" s="519" t="s">
        <v>168</v>
      </c>
      <c r="C17" s="525">
        <v>27598</v>
      </c>
      <c r="D17" s="525">
        <v>30474</v>
      </c>
      <c r="E17" s="525">
        <v>32132</v>
      </c>
      <c r="F17" s="525">
        <v>34384</v>
      </c>
      <c r="G17" s="525">
        <v>35661</v>
      </c>
      <c r="H17" s="525">
        <v>35625</v>
      </c>
      <c r="I17" s="525">
        <v>28063</v>
      </c>
      <c r="J17" s="522">
        <v>27996</v>
      </c>
      <c r="K17" s="499" t="s">
        <v>169</v>
      </c>
      <c r="L17" s="525"/>
      <c r="M17" s="525">
        <v>23148</v>
      </c>
      <c r="N17" s="525">
        <v>21829</v>
      </c>
      <c r="O17" s="505">
        <v>22113</v>
      </c>
      <c r="P17" s="499" t="s">
        <v>169</v>
      </c>
      <c r="Q17" s="505">
        <v>24107</v>
      </c>
      <c r="R17" s="499" t="s">
        <v>169</v>
      </c>
      <c r="S17" s="525">
        <v>23220.734</v>
      </c>
      <c r="T17" s="525">
        <v>24347</v>
      </c>
      <c r="U17" s="505">
        <v>25485.462</v>
      </c>
      <c r="V17" s="499" t="s">
        <v>169</v>
      </c>
      <c r="W17" s="525">
        <v>25667</v>
      </c>
      <c r="X17" s="505">
        <v>25935.359</v>
      </c>
      <c r="Y17" s="499" t="s">
        <v>169</v>
      </c>
      <c r="Z17" s="505">
        <v>27685</v>
      </c>
      <c r="AA17" s="499" t="s">
        <v>169</v>
      </c>
      <c r="AB17" s="505">
        <v>30848</v>
      </c>
      <c r="AC17" s="499" t="s">
        <v>169</v>
      </c>
      <c r="AD17" s="505">
        <v>39533</v>
      </c>
      <c r="AE17" s="499" t="s">
        <v>169</v>
      </c>
      <c r="AF17" s="505">
        <v>41344</v>
      </c>
      <c r="AG17" s="499" t="s">
        <v>169</v>
      </c>
      <c r="AH17" s="505">
        <v>41035</v>
      </c>
      <c r="AI17" s="499" t="s">
        <v>169</v>
      </c>
      <c r="AJ17" s="505">
        <v>41154.5</v>
      </c>
      <c r="AK17" s="499" t="s">
        <v>169</v>
      </c>
      <c r="AL17" s="528">
        <v>41456.321000000004</v>
      </c>
      <c r="AM17" s="529">
        <v>42708</v>
      </c>
      <c r="AN17" s="530">
        <v>37576</v>
      </c>
      <c r="AO17" s="1221">
        <v>37486</v>
      </c>
    </row>
    <row r="18" spans="1:41">
      <c r="A18" s="498"/>
      <c r="B18" s="519" t="s">
        <v>170</v>
      </c>
      <c r="C18" s="525">
        <v>8717</v>
      </c>
      <c r="D18" s="525">
        <v>10177</v>
      </c>
      <c r="E18" s="525">
        <v>8900</v>
      </c>
      <c r="F18" s="525">
        <v>4844</v>
      </c>
      <c r="G18" s="525">
        <v>12819</v>
      </c>
      <c r="H18" s="525">
        <v>16999</v>
      </c>
      <c r="I18" s="525">
        <v>23928</v>
      </c>
      <c r="J18" s="522">
        <v>23674</v>
      </c>
      <c r="K18" s="499" t="s">
        <v>171</v>
      </c>
      <c r="L18" s="525"/>
      <c r="M18" s="525">
        <v>11807</v>
      </c>
      <c r="N18" s="525">
        <v>10705</v>
      </c>
      <c r="O18" s="505">
        <v>9807</v>
      </c>
      <c r="P18" s="499" t="s">
        <v>171</v>
      </c>
      <c r="Q18" s="505">
        <v>9497</v>
      </c>
      <c r="R18" s="499" t="s">
        <v>171</v>
      </c>
      <c r="S18" s="525">
        <v>9043.0249999999996</v>
      </c>
      <c r="T18" s="525">
        <v>9102</v>
      </c>
      <c r="U18" s="505">
        <v>8945.5840000000007</v>
      </c>
      <c r="V18" s="499" t="s">
        <v>171</v>
      </c>
      <c r="W18" s="525">
        <v>8702</v>
      </c>
      <c r="X18" s="505">
        <v>8476.0949999999993</v>
      </c>
      <c r="Y18" s="499" t="s">
        <v>171</v>
      </c>
      <c r="Z18" s="505">
        <v>10998</v>
      </c>
      <c r="AA18" s="499" t="s">
        <v>171</v>
      </c>
      <c r="AB18" s="505">
        <v>14282</v>
      </c>
      <c r="AC18" s="499" t="s">
        <v>171</v>
      </c>
      <c r="AD18" s="505">
        <v>15860</v>
      </c>
      <c r="AE18" s="499" t="s">
        <v>171</v>
      </c>
      <c r="AF18" s="505">
        <v>14027</v>
      </c>
      <c r="AG18" s="499" t="s">
        <v>171</v>
      </c>
      <c r="AH18" s="505">
        <v>14261</v>
      </c>
      <c r="AI18" s="499" t="s">
        <v>171</v>
      </c>
      <c r="AJ18" s="505">
        <v>13724.6</v>
      </c>
      <c r="AK18" s="499" t="s">
        <v>171</v>
      </c>
      <c r="AL18" s="528">
        <v>13639.433999999999</v>
      </c>
      <c r="AM18" s="529">
        <v>13275</v>
      </c>
      <c r="AN18" s="530">
        <v>11488</v>
      </c>
      <c r="AO18" s="1221">
        <v>10264</v>
      </c>
    </row>
    <row r="19" spans="1:41">
      <c r="A19" s="498"/>
      <c r="B19" s="519" t="s">
        <v>172</v>
      </c>
      <c r="C19" s="525">
        <v>6029</v>
      </c>
      <c r="D19" s="525">
        <v>3829</v>
      </c>
      <c r="E19" s="525">
        <v>12700</v>
      </c>
      <c r="F19" s="525">
        <v>9792</v>
      </c>
      <c r="G19" s="525">
        <v>2810</v>
      </c>
      <c r="H19" s="525">
        <v>2041</v>
      </c>
      <c r="I19" s="525">
        <v>6454</v>
      </c>
      <c r="J19" s="522">
        <v>7041</v>
      </c>
      <c r="K19" s="499" t="s">
        <v>173</v>
      </c>
      <c r="L19" s="525"/>
      <c r="M19" s="525">
        <v>4322</v>
      </c>
      <c r="N19" s="525">
        <v>2156</v>
      </c>
      <c r="O19" s="505">
        <v>1932</v>
      </c>
      <c r="P19" s="499" t="s">
        <v>173</v>
      </c>
      <c r="Q19" s="505">
        <v>1804</v>
      </c>
      <c r="R19" s="499" t="s">
        <v>173</v>
      </c>
      <c r="S19" s="525">
        <v>1606.18</v>
      </c>
      <c r="T19" s="525">
        <v>1367</v>
      </c>
      <c r="U19" s="505">
        <v>1162.4179999999999</v>
      </c>
      <c r="V19" s="499" t="s">
        <v>173</v>
      </c>
      <c r="W19" s="525">
        <v>1058</v>
      </c>
      <c r="X19" s="505">
        <v>978.67499999999995</v>
      </c>
      <c r="Y19" s="499" t="s">
        <v>173</v>
      </c>
      <c r="Z19" s="505">
        <v>262</v>
      </c>
      <c r="AA19" s="499" t="s">
        <v>173</v>
      </c>
      <c r="AB19" s="505">
        <v>271</v>
      </c>
      <c r="AC19" s="499" t="s">
        <v>173</v>
      </c>
      <c r="AD19" s="505">
        <v>276</v>
      </c>
      <c r="AE19" s="499" t="s">
        <v>173</v>
      </c>
      <c r="AF19" s="505">
        <v>182</v>
      </c>
      <c r="AG19" s="499" t="s">
        <v>173</v>
      </c>
      <c r="AH19" s="505">
        <v>199</v>
      </c>
      <c r="AI19" s="499" t="s">
        <v>173</v>
      </c>
      <c r="AJ19" s="505">
        <v>165.3</v>
      </c>
      <c r="AK19" s="499" t="s">
        <v>173</v>
      </c>
      <c r="AL19" s="528">
        <v>174.92699999999999</v>
      </c>
      <c r="AM19" s="529">
        <v>144</v>
      </c>
      <c r="AN19" s="530">
        <v>118</v>
      </c>
      <c r="AO19" s="1221">
        <v>117</v>
      </c>
    </row>
    <row r="20" spans="1:41">
      <c r="A20" s="498"/>
      <c r="B20" s="519" t="s">
        <v>174</v>
      </c>
      <c r="C20" s="525">
        <v>2221</v>
      </c>
      <c r="D20" s="525">
        <v>3264</v>
      </c>
      <c r="E20" s="525">
        <v>2502</v>
      </c>
      <c r="F20" s="525">
        <v>6304</v>
      </c>
      <c r="G20" s="525">
        <v>9196</v>
      </c>
      <c r="H20" s="525">
        <v>6199</v>
      </c>
      <c r="I20" s="525">
        <v>5716</v>
      </c>
      <c r="J20" s="522">
        <v>5885</v>
      </c>
      <c r="K20" s="499" t="s">
        <v>175</v>
      </c>
      <c r="L20" s="525"/>
      <c r="M20" s="525">
        <v>52933</v>
      </c>
      <c r="N20" s="525">
        <v>26986</v>
      </c>
      <c r="O20" s="505">
        <v>29171</v>
      </c>
      <c r="P20" s="499" t="s">
        <v>176</v>
      </c>
      <c r="Q20" s="505">
        <v>25455</v>
      </c>
      <c r="R20" s="499" t="s">
        <v>176</v>
      </c>
      <c r="S20" s="525">
        <v>30212.365000000002</v>
      </c>
      <c r="T20" s="525">
        <v>25654</v>
      </c>
      <c r="U20" s="505">
        <v>24255.370999999999</v>
      </c>
      <c r="V20" s="499" t="s">
        <v>176</v>
      </c>
      <c r="W20" s="525">
        <v>25535</v>
      </c>
      <c r="X20" s="505">
        <v>24246.012999999999</v>
      </c>
      <c r="Y20" s="499" t="s">
        <v>176</v>
      </c>
      <c r="Z20" s="505">
        <v>24219</v>
      </c>
      <c r="AA20" s="499" t="s">
        <v>176</v>
      </c>
      <c r="AB20" s="505">
        <v>26038</v>
      </c>
      <c r="AC20" s="499" t="s">
        <v>176</v>
      </c>
      <c r="AD20" s="505">
        <v>26184</v>
      </c>
      <c r="AE20" s="499" t="s">
        <v>176</v>
      </c>
      <c r="AF20" s="505">
        <v>29204</v>
      </c>
      <c r="AG20" s="499" t="s">
        <v>176</v>
      </c>
      <c r="AH20" s="505">
        <v>29577</v>
      </c>
      <c r="AI20" s="499" t="s">
        <v>176</v>
      </c>
      <c r="AJ20" s="505">
        <v>34710.1</v>
      </c>
      <c r="AK20" s="499" t="s">
        <v>176</v>
      </c>
      <c r="AL20" s="528">
        <v>35998.322999999997</v>
      </c>
      <c r="AM20" s="529">
        <v>40847</v>
      </c>
      <c r="AN20" s="530">
        <v>39637</v>
      </c>
      <c r="AO20" s="1221">
        <v>35221</v>
      </c>
    </row>
    <row r="21" spans="1:41">
      <c r="A21" s="498"/>
      <c r="B21" s="519" t="s">
        <v>177</v>
      </c>
      <c r="C21" s="525"/>
      <c r="D21" s="525">
        <v>7968</v>
      </c>
      <c r="E21" s="525">
        <v>3283</v>
      </c>
      <c r="F21" s="525">
        <v>4633</v>
      </c>
      <c r="G21" s="525">
        <v>5753</v>
      </c>
      <c r="H21" s="525">
        <v>2011</v>
      </c>
      <c r="I21" s="525">
        <v>2494</v>
      </c>
      <c r="J21" s="522">
        <v>2611</v>
      </c>
      <c r="K21" s="499" t="s">
        <v>178</v>
      </c>
      <c r="L21" s="525"/>
      <c r="M21" s="525">
        <v>1008</v>
      </c>
      <c r="N21" s="525">
        <v>981</v>
      </c>
      <c r="O21" s="505">
        <v>886</v>
      </c>
      <c r="P21" s="499" t="s">
        <v>178</v>
      </c>
      <c r="Q21" s="505">
        <v>1233</v>
      </c>
      <c r="R21" s="499" t="s">
        <v>178</v>
      </c>
      <c r="S21" s="525">
        <v>1225.6410000000001</v>
      </c>
      <c r="T21" s="525">
        <v>976</v>
      </c>
      <c r="U21" s="505">
        <v>1210.643</v>
      </c>
      <c r="V21" s="499" t="s">
        <v>178</v>
      </c>
      <c r="W21" s="525">
        <v>665</v>
      </c>
      <c r="X21" s="505">
        <v>568.12900000000002</v>
      </c>
      <c r="Y21" s="499" t="s">
        <v>178</v>
      </c>
      <c r="Z21" s="505">
        <v>548</v>
      </c>
      <c r="AA21" s="499" t="s">
        <v>178</v>
      </c>
      <c r="AB21" s="505">
        <v>327</v>
      </c>
      <c r="AC21" s="499" t="s">
        <v>178</v>
      </c>
      <c r="AD21" s="505">
        <v>677</v>
      </c>
      <c r="AE21" s="499" t="s">
        <v>178</v>
      </c>
      <c r="AF21" s="505">
        <v>1366</v>
      </c>
      <c r="AG21" s="499" t="s">
        <v>178</v>
      </c>
      <c r="AH21" s="505">
        <v>2677</v>
      </c>
      <c r="AI21" s="499" t="s">
        <v>178</v>
      </c>
      <c r="AJ21" s="505">
        <v>3066.1</v>
      </c>
      <c r="AK21" s="499" t="s">
        <v>178</v>
      </c>
      <c r="AL21" s="528">
        <v>7593.1869999999999</v>
      </c>
      <c r="AM21" s="529">
        <v>2703</v>
      </c>
      <c r="AN21" s="530">
        <v>4380</v>
      </c>
      <c r="AO21" s="1221">
        <v>10289</v>
      </c>
    </row>
    <row r="22" spans="1:41">
      <c r="A22" s="498"/>
      <c r="B22" s="519" t="s">
        <v>179</v>
      </c>
      <c r="C22" s="525"/>
      <c r="D22" s="525"/>
      <c r="E22" s="525"/>
      <c r="F22" s="525"/>
      <c r="G22" s="525"/>
      <c r="H22" s="525"/>
      <c r="I22" s="525">
        <v>5502</v>
      </c>
      <c r="J22" s="522">
        <v>5508</v>
      </c>
      <c r="K22" s="499" t="s">
        <v>180</v>
      </c>
      <c r="L22" s="525"/>
      <c r="M22" s="525">
        <v>9605</v>
      </c>
      <c r="N22" s="525">
        <v>12915</v>
      </c>
      <c r="O22" s="505">
        <v>12773</v>
      </c>
      <c r="P22" s="499" t="s">
        <v>181</v>
      </c>
      <c r="Q22" s="505">
        <v>14232</v>
      </c>
      <c r="R22" s="499" t="s">
        <v>181</v>
      </c>
      <c r="S22" s="525">
        <v>13658.602999999999</v>
      </c>
      <c r="T22" s="525">
        <v>13249</v>
      </c>
      <c r="U22" s="505">
        <v>12786.54</v>
      </c>
      <c r="V22" s="499" t="s">
        <v>181</v>
      </c>
      <c r="W22" s="525">
        <v>9636</v>
      </c>
      <c r="X22" s="505">
        <v>9537.3940000000002</v>
      </c>
      <c r="Y22" s="499" t="s">
        <v>181</v>
      </c>
      <c r="Z22" s="505">
        <v>9312</v>
      </c>
      <c r="AA22" s="499" t="s">
        <v>181</v>
      </c>
      <c r="AB22" s="505">
        <v>9485</v>
      </c>
      <c r="AC22" s="499" t="s">
        <v>181</v>
      </c>
      <c r="AD22" s="505">
        <v>10594</v>
      </c>
      <c r="AE22" s="499" t="s">
        <v>181</v>
      </c>
      <c r="AF22" s="505">
        <v>11939</v>
      </c>
      <c r="AG22" s="499" t="s">
        <v>181</v>
      </c>
      <c r="AH22" s="505">
        <v>12141</v>
      </c>
      <c r="AI22" s="499" t="s">
        <v>181</v>
      </c>
      <c r="AJ22" s="505">
        <v>12140.2</v>
      </c>
      <c r="AK22" s="499" t="s">
        <v>181</v>
      </c>
      <c r="AL22" s="528">
        <v>12229.027</v>
      </c>
      <c r="AM22" s="529">
        <v>12164</v>
      </c>
      <c r="AN22" s="530">
        <v>11110</v>
      </c>
      <c r="AO22" s="1221">
        <v>10761</v>
      </c>
    </row>
    <row r="23" spans="1:41">
      <c r="A23" s="498"/>
      <c r="B23" s="519" t="s">
        <v>164</v>
      </c>
      <c r="C23" s="525">
        <v>7255</v>
      </c>
      <c r="D23" s="525">
        <v>2875</v>
      </c>
      <c r="E23" s="525">
        <v>6651</v>
      </c>
      <c r="F23" s="525">
        <v>9962</v>
      </c>
      <c r="G23" s="525">
        <v>8665</v>
      </c>
      <c r="H23" s="525">
        <v>15667</v>
      </c>
      <c r="I23" s="525">
        <v>9354</v>
      </c>
      <c r="J23" s="522">
        <v>13749</v>
      </c>
      <c r="K23" s="499" t="s">
        <v>164</v>
      </c>
      <c r="L23" s="525"/>
      <c r="M23" s="525">
        <v>646</v>
      </c>
      <c r="N23" s="525">
        <v>431</v>
      </c>
      <c r="O23" s="505">
        <v>432</v>
      </c>
      <c r="P23" s="499" t="s">
        <v>164</v>
      </c>
      <c r="Q23" s="505">
        <v>342</v>
      </c>
      <c r="R23" s="499" t="s">
        <v>164</v>
      </c>
      <c r="S23" s="525">
        <v>340.279</v>
      </c>
      <c r="T23" s="525">
        <v>300</v>
      </c>
      <c r="U23" s="505">
        <v>300</v>
      </c>
      <c r="V23" s="499" t="s">
        <v>164</v>
      </c>
      <c r="W23" s="525">
        <v>300</v>
      </c>
      <c r="X23" s="505">
        <v>300</v>
      </c>
      <c r="Y23" s="499" t="s">
        <v>164</v>
      </c>
      <c r="Z23" s="505">
        <v>200</v>
      </c>
      <c r="AA23" s="499" t="s">
        <v>164</v>
      </c>
      <c r="AB23" s="505">
        <v>200</v>
      </c>
      <c r="AC23" s="499" t="s">
        <v>164</v>
      </c>
      <c r="AD23" s="505">
        <v>200</v>
      </c>
      <c r="AE23" s="499" t="s">
        <v>164</v>
      </c>
      <c r="AF23" s="505">
        <v>200</v>
      </c>
      <c r="AG23" s="499" t="s">
        <v>164</v>
      </c>
      <c r="AH23" s="505">
        <v>200</v>
      </c>
      <c r="AI23" s="499" t="s">
        <v>164</v>
      </c>
      <c r="AJ23" s="505">
        <v>200</v>
      </c>
      <c r="AK23" s="499" t="s">
        <v>164</v>
      </c>
      <c r="AL23" s="528">
        <v>200</v>
      </c>
      <c r="AM23" s="529">
        <v>200</v>
      </c>
      <c r="AN23" s="530">
        <v>200</v>
      </c>
      <c r="AO23" s="1221">
        <v>200</v>
      </c>
    </row>
    <row r="24" spans="1:41">
      <c r="A24" s="501"/>
      <c r="B24" s="520" t="s">
        <v>166</v>
      </c>
      <c r="C24" s="526">
        <v>79000</v>
      </c>
      <c r="D24" s="526">
        <v>87100</v>
      </c>
      <c r="E24" s="526">
        <v>95100</v>
      </c>
      <c r="F24" s="526">
        <v>99300</v>
      </c>
      <c r="G24" s="526">
        <v>104100</v>
      </c>
      <c r="H24" s="526">
        <v>107371</v>
      </c>
      <c r="I24" s="526">
        <v>110861</v>
      </c>
      <c r="J24" s="523">
        <v>115618</v>
      </c>
      <c r="K24" s="502"/>
      <c r="L24" s="526"/>
      <c r="M24" s="526">
        <v>141641</v>
      </c>
      <c r="N24" s="526">
        <v>117554</v>
      </c>
      <c r="O24" s="509">
        <v>118581</v>
      </c>
      <c r="P24" s="502"/>
      <c r="Q24" s="509">
        <v>119002</v>
      </c>
      <c r="R24" s="502"/>
      <c r="S24" s="526">
        <v>122800.34</v>
      </c>
      <c r="T24" s="526">
        <v>120366</v>
      </c>
      <c r="U24" s="509">
        <v>119085.753</v>
      </c>
      <c r="V24" s="502"/>
      <c r="W24" s="526">
        <v>115402</v>
      </c>
      <c r="X24" s="509">
        <v>113310.444</v>
      </c>
      <c r="Y24" s="502"/>
      <c r="Z24" s="509">
        <v>117828</v>
      </c>
      <c r="AA24" s="502"/>
      <c r="AB24" s="509">
        <v>126066</v>
      </c>
      <c r="AC24" s="502"/>
      <c r="AD24" s="509">
        <v>140430</v>
      </c>
      <c r="AE24" s="502"/>
      <c r="AF24" s="509">
        <v>144643</v>
      </c>
      <c r="AG24" s="502"/>
      <c r="AH24" s="509">
        <v>147245</v>
      </c>
      <c r="AI24" s="502"/>
      <c r="AJ24" s="509">
        <v>155204.80000000002</v>
      </c>
      <c r="AK24" s="502"/>
      <c r="AL24" s="531">
        <v>164110.88</v>
      </c>
      <c r="AM24" s="532">
        <v>164939</v>
      </c>
      <c r="AN24" s="533">
        <v>156202</v>
      </c>
      <c r="AO24" s="1219">
        <f>SUM(AO16:AO23)</f>
        <v>154083</v>
      </c>
    </row>
    <row r="25" spans="1:41">
      <c r="A25" s="498" t="s">
        <v>42</v>
      </c>
      <c r="B25" s="519"/>
      <c r="C25" s="525"/>
      <c r="D25" s="525"/>
      <c r="E25" s="525"/>
      <c r="F25" s="525"/>
      <c r="G25" s="525"/>
      <c r="H25" s="525"/>
      <c r="I25" s="525"/>
      <c r="J25" s="522"/>
      <c r="K25" s="499"/>
      <c r="L25" s="525"/>
      <c r="M25" s="525"/>
      <c r="N25" s="525"/>
      <c r="O25" s="505"/>
      <c r="P25" s="499"/>
      <c r="Q25" s="505"/>
      <c r="R25" s="499" t="s">
        <v>182</v>
      </c>
      <c r="S25" s="525">
        <v>79321</v>
      </c>
      <c r="T25" s="525">
        <v>80787</v>
      </c>
      <c r="U25" s="505">
        <v>83203</v>
      </c>
      <c r="V25" s="499" t="s">
        <v>182</v>
      </c>
      <c r="W25" s="525">
        <v>93864</v>
      </c>
      <c r="X25" s="505">
        <v>102701</v>
      </c>
      <c r="Y25" s="499" t="s">
        <v>183</v>
      </c>
      <c r="Z25" s="505">
        <v>112281</v>
      </c>
      <c r="AA25" s="499" t="s">
        <v>183</v>
      </c>
      <c r="AB25" s="505">
        <v>114791</v>
      </c>
      <c r="AC25" s="499" t="s">
        <v>183</v>
      </c>
      <c r="AD25" s="505">
        <v>118668</v>
      </c>
      <c r="AE25" s="499" t="s">
        <v>183</v>
      </c>
      <c r="AF25" s="505">
        <v>127341</v>
      </c>
      <c r="AG25" s="499" t="s">
        <v>183</v>
      </c>
      <c r="AH25" s="505">
        <v>127782</v>
      </c>
      <c r="AI25" s="499" t="s">
        <v>183</v>
      </c>
      <c r="AJ25" s="505">
        <v>134852</v>
      </c>
      <c r="AK25" s="499" t="s">
        <v>183</v>
      </c>
      <c r="AL25" s="528">
        <v>137443</v>
      </c>
      <c r="AM25" s="529">
        <v>141467</v>
      </c>
      <c r="AN25" s="530">
        <v>156455</v>
      </c>
      <c r="AO25" s="1222">
        <v>157257</v>
      </c>
    </row>
    <row r="26" spans="1:41">
      <c r="A26" s="498" t="s">
        <v>132</v>
      </c>
      <c r="B26" s="519"/>
      <c r="C26" s="525"/>
      <c r="D26" s="525"/>
      <c r="E26" s="525"/>
      <c r="F26" s="525"/>
      <c r="G26" s="525"/>
      <c r="H26" s="525"/>
      <c r="I26" s="525"/>
      <c r="J26" s="522"/>
      <c r="K26" s="499"/>
      <c r="L26" s="525"/>
      <c r="M26" s="525"/>
      <c r="N26" s="525"/>
      <c r="O26" s="505"/>
      <c r="P26" s="499"/>
      <c r="Q26" s="505"/>
      <c r="R26" s="499" t="s">
        <v>184</v>
      </c>
      <c r="S26" s="525">
        <v>120774</v>
      </c>
      <c r="T26" s="525">
        <v>136223</v>
      </c>
      <c r="U26" s="505">
        <v>129508</v>
      </c>
      <c r="V26" s="499" t="s">
        <v>184</v>
      </c>
      <c r="W26" s="525">
        <v>151313</v>
      </c>
      <c r="X26" s="505">
        <v>165610</v>
      </c>
      <c r="Y26" s="499" t="s">
        <v>185</v>
      </c>
      <c r="Z26" s="505">
        <v>70998</v>
      </c>
      <c r="AA26" s="499" t="s">
        <v>185</v>
      </c>
      <c r="AB26" s="505">
        <v>67195</v>
      </c>
      <c r="AC26" s="499" t="s">
        <v>185</v>
      </c>
      <c r="AD26" s="505">
        <v>115448</v>
      </c>
      <c r="AE26" s="499" t="s">
        <v>185</v>
      </c>
      <c r="AF26" s="505">
        <v>187085</v>
      </c>
      <c r="AG26" s="499" t="s">
        <v>185</v>
      </c>
      <c r="AH26" s="505">
        <v>230126</v>
      </c>
      <c r="AI26" s="499" t="s">
        <v>185</v>
      </c>
      <c r="AJ26" s="505">
        <v>271061</v>
      </c>
      <c r="AK26" s="499" t="s">
        <v>185</v>
      </c>
      <c r="AL26" s="528">
        <v>217318</v>
      </c>
      <c r="AM26" s="529">
        <v>137678</v>
      </c>
      <c r="AN26" s="530">
        <v>114044</v>
      </c>
      <c r="AO26" s="1218">
        <v>246371</v>
      </c>
    </row>
    <row r="27" spans="1:41">
      <c r="A27" s="498"/>
      <c r="B27" s="519"/>
      <c r="C27" s="525"/>
      <c r="D27" s="525"/>
      <c r="E27" s="525"/>
      <c r="F27" s="525"/>
      <c r="G27" s="525"/>
      <c r="H27" s="525"/>
      <c r="I27" s="525"/>
      <c r="J27" s="522"/>
      <c r="K27" s="499"/>
      <c r="L27" s="525"/>
      <c r="M27" s="525"/>
      <c r="N27" s="525"/>
      <c r="O27" s="505"/>
      <c r="P27" s="499"/>
      <c r="Q27" s="505"/>
      <c r="R27" s="499" t="s">
        <v>186</v>
      </c>
      <c r="S27" s="525">
        <v>42115</v>
      </c>
      <c r="T27" s="525">
        <v>55856</v>
      </c>
      <c r="U27" s="505">
        <v>64819</v>
      </c>
      <c r="V27" s="499" t="s">
        <v>186</v>
      </c>
      <c r="W27" s="525">
        <v>62376</v>
      </c>
      <c r="X27" s="505">
        <v>67478</v>
      </c>
      <c r="Y27" s="499" t="s">
        <v>187</v>
      </c>
      <c r="Z27" s="505">
        <v>234742</v>
      </c>
      <c r="AA27" s="499" t="s">
        <v>187</v>
      </c>
      <c r="AB27" s="505">
        <v>264447</v>
      </c>
      <c r="AC27" s="499" t="s">
        <v>187</v>
      </c>
      <c r="AD27" s="505">
        <v>273954</v>
      </c>
      <c r="AE27" s="499" t="s">
        <v>187</v>
      </c>
      <c r="AF27" s="505">
        <v>263331</v>
      </c>
      <c r="AG27" s="499" t="s">
        <v>187</v>
      </c>
      <c r="AH27" s="505">
        <v>262589</v>
      </c>
      <c r="AI27" s="499" t="s">
        <v>187</v>
      </c>
      <c r="AJ27" s="505">
        <v>279758</v>
      </c>
      <c r="AK27" s="499" t="s">
        <v>187</v>
      </c>
      <c r="AL27" s="528">
        <v>289746</v>
      </c>
      <c r="AM27" s="529">
        <v>338976</v>
      </c>
      <c r="AN27" s="530">
        <v>352677</v>
      </c>
      <c r="AO27" s="1218">
        <v>373786</v>
      </c>
    </row>
    <row r="28" spans="1:41">
      <c r="A28" s="498"/>
      <c r="B28" s="519"/>
      <c r="C28" s="525"/>
      <c r="D28" s="525"/>
      <c r="E28" s="525"/>
      <c r="F28" s="525"/>
      <c r="G28" s="525"/>
      <c r="H28" s="525"/>
      <c r="I28" s="525"/>
      <c r="J28" s="522"/>
      <c r="K28" s="499"/>
      <c r="L28" s="525"/>
      <c r="M28" s="525"/>
      <c r="N28" s="525"/>
      <c r="O28" s="505"/>
      <c r="P28" s="499"/>
      <c r="Q28" s="505"/>
      <c r="R28" s="499" t="s">
        <v>188</v>
      </c>
      <c r="S28" s="525">
        <v>13333</v>
      </c>
      <c r="T28" s="525">
        <v>45791</v>
      </c>
      <c r="U28" s="505">
        <v>48487</v>
      </c>
      <c r="V28" s="499" t="s">
        <v>188</v>
      </c>
      <c r="W28" s="525">
        <v>30000</v>
      </c>
      <c r="X28" s="505">
        <v>51929</v>
      </c>
      <c r="Y28" s="499" t="s">
        <v>189</v>
      </c>
      <c r="Z28" s="505">
        <v>14715</v>
      </c>
      <c r="AA28" s="499" t="s">
        <v>189</v>
      </c>
      <c r="AB28" s="505">
        <v>14867</v>
      </c>
      <c r="AC28" s="499" t="s">
        <v>189</v>
      </c>
      <c r="AD28" s="505">
        <v>17558</v>
      </c>
      <c r="AE28" s="499" t="s">
        <v>189</v>
      </c>
      <c r="AF28" s="505">
        <v>15902</v>
      </c>
      <c r="AG28" s="499" t="s">
        <v>189</v>
      </c>
      <c r="AH28" s="505">
        <v>16391</v>
      </c>
      <c r="AI28" s="499" t="s">
        <v>189</v>
      </c>
      <c r="AJ28" s="505">
        <v>16607</v>
      </c>
      <c r="AK28" s="499" t="s">
        <v>189</v>
      </c>
      <c r="AL28" s="528">
        <v>17043</v>
      </c>
      <c r="AM28" s="529">
        <v>17284</v>
      </c>
      <c r="AN28" s="530">
        <v>16132</v>
      </c>
      <c r="AO28" s="1218">
        <v>16402</v>
      </c>
    </row>
    <row r="29" spans="1:41">
      <c r="A29" s="498"/>
      <c r="B29" s="519"/>
      <c r="C29" s="525"/>
      <c r="D29" s="525"/>
      <c r="E29" s="525"/>
      <c r="F29" s="525"/>
      <c r="G29" s="525"/>
      <c r="H29" s="525"/>
      <c r="I29" s="525"/>
      <c r="J29" s="522"/>
      <c r="K29" s="499"/>
      <c r="L29" s="525"/>
      <c r="M29" s="525"/>
      <c r="N29" s="525"/>
      <c r="O29" s="505"/>
      <c r="P29" s="499"/>
      <c r="Q29" s="505"/>
      <c r="R29" s="499" t="s">
        <v>189</v>
      </c>
      <c r="S29" s="525">
        <v>49922</v>
      </c>
      <c r="T29" s="525">
        <v>10332</v>
      </c>
      <c r="U29" s="505">
        <v>9359</v>
      </c>
      <c r="V29" s="499" t="s">
        <v>189</v>
      </c>
      <c r="W29" s="525">
        <v>12910</v>
      </c>
      <c r="X29" s="505">
        <v>17697</v>
      </c>
      <c r="Y29" s="499"/>
      <c r="Z29" s="505"/>
      <c r="AA29" s="499"/>
      <c r="AB29" s="505"/>
      <c r="AC29" s="499"/>
      <c r="AD29" s="505"/>
      <c r="AE29" s="499"/>
      <c r="AF29" s="505"/>
      <c r="AG29" s="499"/>
      <c r="AH29" s="505"/>
      <c r="AI29" s="499"/>
      <c r="AJ29" s="505"/>
      <c r="AK29" s="499"/>
      <c r="AL29" s="528"/>
      <c r="AM29" s="529"/>
      <c r="AN29" s="530"/>
      <c r="AO29" s="1099"/>
    </row>
    <row r="30" spans="1:41">
      <c r="A30" s="501"/>
      <c r="B30" s="520" t="s">
        <v>166</v>
      </c>
      <c r="C30" s="526"/>
      <c r="D30" s="526"/>
      <c r="E30" s="526"/>
      <c r="F30" s="526"/>
      <c r="G30" s="526"/>
      <c r="H30" s="526"/>
      <c r="I30" s="526"/>
      <c r="J30" s="523"/>
      <c r="K30" s="502"/>
      <c r="L30" s="526"/>
      <c r="M30" s="526"/>
      <c r="N30" s="526"/>
      <c r="O30" s="509"/>
      <c r="P30" s="502"/>
      <c r="Q30" s="509"/>
      <c r="R30" s="502"/>
      <c r="S30" s="526">
        <v>305465</v>
      </c>
      <c r="T30" s="526">
        <v>328989</v>
      </c>
      <c r="U30" s="509">
        <v>335376</v>
      </c>
      <c r="V30" s="502"/>
      <c r="W30" s="526">
        <v>350463</v>
      </c>
      <c r="X30" s="509">
        <v>405415</v>
      </c>
      <c r="Y30" s="502"/>
      <c r="Z30" s="509">
        <v>432736</v>
      </c>
      <c r="AA30" s="502"/>
      <c r="AB30" s="509">
        <v>461300</v>
      </c>
      <c r="AC30" s="502"/>
      <c r="AD30" s="509">
        <v>525628</v>
      </c>
      <c r="AE30" s="502"/>
      <c r="AF30" s="509">
        <v>593659</v>
      </c>
      <c r="AG30" s="502"/>
      <c r="AH30" s="509">
        <v>636888</v>
      </c>
      <c r="AI30" s="502"/>
      <c r="AJ30" s="509">
        <v>702278</v>
      </c>
      <c r="AK30" s="502"/>
      <c r="AL30" s="531">
        <v>661550</v>
      </c>
      <c r="AM30" s="532">
        <v>635405</v>
      </c>
      <c r="AN30" s="533">
        <v>639308</v>
      </c>
      <c r="AO30" s="1219">
        <f>SUM(AO25:AO29)</f>
        <v>793816</v>
      </c>
    </row>
    <row r="31" spans="1:41">
      <c r="A31" s="498" t="s">
        <v>43</v>
      </c>
      <c r="B31" s="519"/>
      <c r="C31" s="525"/>
      <c r="D31" s="525"/>
      <c r="E31" s="525"/>
      <c r="F31" s="525"/>
      <c r="G31" s="525"/>
      <c r="H31" s="525"/>
      <c r="I31" s="525"/>
      <c r="J31" s="522"/>
      <c r="K31" s="499"/>
      <c r="L31" s="525"/>
      <c r="M31" s="525"/>
      <c r="N31" s="525"/>
      <c r="O31" s="505"/>
      <c r="P31" s="499"/>
      <c r="Q31" s="505"/>
      <c r="R31" s="499" t="s">
        <v>190</v>
      </c>
      <c r="S31" s="525"/>
      <c r="T31" s="525"/>
      <c r="U31" s="505"/>
      <c r="V31" s="499" t="s">
        <v>190</v>
      </c>
      <c r="W31" s="525">
        <v>1950</v>
      </c>
      <c r="X31" s="505">
        <v>4443</v>
      </c>
      <c r="Y31" s="499" t="s">
        <v>191</v>
      </c>
      <c r="Z31" s="505">
        <v>5894</v>
      </c>
      <c r="AA31" s="499" t="s">
        <v>192</v>
      </c>
      <c r="AB31" s="505">
        <v>861</v>
      </c>
      <c r="AC31" s="499" t="s">
        <v>191</v>
      </c>
      <c r="AD31" s="505">
        <v>45.9</v>
      </c>
      <c r="AE31" s="499" t="s">
        <v>193</v>
      </c>
      <c r="AF31" s="505">
        <v>49</v>
      </c>
      <c r="AG31" s="499" t="s">
        <v>193</v>
      </c>
      <c r="AH31" s="505">
        <v>4100.3</v>
      </c>
      <c r="AI31" s="499" t="s">
        <v>193</v>
      </c>
      <c r="AJ31" s="505">
        <v>833.7</v>
      </c>
      <c r="AK31" s="499" t="s">
        <v>193</v>
      </c>
      <c r="AL31" s="528">
        <v>892</v>
      </c>
      <c r="AM31" s="529">
        <v>849</v>
      </c>
      <c r="AN31" s="530">
        <v>741.4</v>
      </c>
      <c r="AO31" s="1204">
        <v>753</v>
      </c>
    </row>
    <row r="32" spans="1:41">
      <c r="A32" s="498" t="s">
        <v>133</v>
      </c>
      <c r="B32" s="519"/>
      <c r="C32" s="525"/>
      <c r="D32" s="525"/>
      <c r="E32" s="525"/>
      <c r="F32" s="525"/>
      <c r="G32" s="525"/>
      <c r="H32" s="525"/>
      <c r="I32" s="525"/>
      <c r="J32" s="522"/>
      <c r="K32" s="499"/>
      <c r="L32" s="525"/>
      <c r="M32" s="525"/>
      <c r="N32" s="525"/>
      <c r="O32" s="505"/>
      <c r="P32" s="499"/>
      <c r="Q32" s="505"/>
      <c r="R32" s="499" t="s">
        <v>194</v>
      </c>
      <c r="S32" s="525"/>
      <c r="T32" s="525"/>
      <c r="U32" s="505"/>
      <c r="V32" s="499" t="s">
        <v>194</v>
      </c>
      <c r="W32" s="525">
        <v>22.41</v>
      </c>
      <c r="X32" s="505">
        <v>24</v>
      </c>
      <c r="Y32" s="499" t="s">
        <v>195</v>
      </c>
      <c r="Z32" s="505">
        <v>24</v>
      </c>
      <c r="AA32" s="499" t="s">
        <v>190</v>
      </c>
      <c r="AB32" s="505">
        <v>3601</v>
      </c>
      <c r="AC32" s="499" t="s">
        <v>195</v>
      </c>
      <c r="AD32" s="505">
        <v>406.3</v>
      </c>
      <c r="AE32" s="499" t="s">
        <v>190</v>
      </c>
      <c r="AF32" s="505">
        <v>423</v>
      </c>
      <c r="AG32" s="499" t="s">
        <v>190</v>
      </c>
      <c r="AH32" s="505">
        <v>4720.8</v>
      </c>
      <c r="AI32" s="499" t="s">
        <v>190</v>
      </c>
      <c r="AJ32" s="505">
        <v>4877.3</v>
      </c>
      <c r="AK32" s="499" t="s">
        <v>148</v>
      </c>
      <c r="AL32" s="528">
        <v>5365</v>
      </c>
      <c r="AM32" s="529">
        <v>6323</v>
      </c>
      <c r="AN32" s="530">
        <v>5838.52</v>
      </c>
      <c r="AO32" s="1205">
        <v>6401</v>
      </c>
    </row>
    <row r="33" spans="1:41">
      <c r="A33" s="498"/>
      <c r="B33" s="519"/>
      <c r="C33" s="525"/>
      <c r="D33" s="525"/>
      <c r="E33" s="525"/>
      <c r="F33" s="525"/>
      <c r="G33" s="525"/>
      <c r="H33" s="525"/>
      <c r="I33" s="525"/>
      <c r="J33" s="522"/>
      <c r="K33" s="499"/>
      <c r="L33" s="525"/>
      <c r="M33" s="525"/>
      <c r="N33" s="525"/>
      <c r="O33" s="505"/>
      <c r="P33" s="499"/>
      <c r="Q33" s="505"/>
      <c r="R33" s="499" t="s">
        <v>196</v>
      </c>
      <c r="S33" s="525"/>
      <c r="T33" s="525"/>
      <c r="U33" s="505"/>
      <c r="V33" s="499" t="s">
        <v>196</v>
      </c>
      <c r="W33" s="525">
        <v>86.87</v>
      </c>
      <c r="X33" s="505">
        <v>81</v>
      </c>
      <c r="Y33" s="499" t="s">
        <v>197</v>
      </c>
      <c r="Z33" s="505">
        <v>74</v>
      </c>
      <c r="AA33" s="499" t="s">
        <v>194</v>
      </c>
      <c r="AB33" s="505">
        <v>94</v>
      </c>
      <c r="AC33" s="499" t="s">
        <v>197</v>
      </c>
      <c r="AD33" s="505">
        <v>132.9</v>
      </c>
      <c r="AE33" s="499" t="s">
        <v>198</v>
      </c>
      <c r="AF33" s="505">
        <v>13</v>
      </c>
      <c r="AG33" s="499" t="s">
        <v>198</v>
      </c>
      <c r="AH33" s="505">
        <v>164.8</v>
      </c>
      <c r="AI33" s="499" t="s">
        <v>198</v>
      </c>
      <c r="AJ33" s="505">
        <v>187.1</v>
      </c>
      <c r="AK33" s="499" t="s">
        <v>198</v>
      </c>
      <c r="AL33" s="528">
        <v>344</v>
      </c>
      <c r="AM33" s="529">
        <v>218</v>
      </c>
      <c r="AN33" s="530">
        <v>226.23</v>
      </c>
      <c r="AO33" s="1205">
        <v>213</v>
      </c>
    </row>
    <row r="34" spans="1:41">
      <c r="A34" s="498"/>
      <c r="B34" s="519"/>
      <c r="C34" s="525"/>
      <c r="D34" s="525"/>
      <c r="E34" s="525"/>
      <c r="F34" s="525"/>
      <c r="G34" s="525"/>
      <c r="H34" s="525"/>
      <c r="I34" s="525"/>
      <c r="J34" s="522"/>
      <c r="K34" s="499"/>
      <c r="L34" s="525"/>
      <c r="M34" s="525"/>
      <c r="N34" s="525"/>
      <c r="O34" s="505"/>
      <c r="P34" s="499"/>
      <c r="Q34" s="505"/>
      <c r="R34" s="499" t="s">
        <v>51</v>
      </c>
      <c r="S34" s="525"/>
      <c r="T34" s="525"/>
      <c r="U34" s="505"/>
      <c r="V34" s="499" t="s">
        <v>51</v>
      </c>
      <c r="W34" s="525">
        <v>581.92999999999995</v>
      </c>
      <c r="X34" s="505">
        <v>3</v>
      </c>
      <c r="Y34" s="499" t="s">
        <v>199</v>
      </c>
      <c r="Z34" s="505">
        <v>2.5</v>
      </c>
      <c r="AA34" s="499" t="s">
        <v>51</v>
      </c>
      <c r="AB34" s="505">
        <v>1880</v>
      </c>
      <c r="AC34" s="499" t="s">
        <v>200</v>
      </c>
      <c r="AD34" s="505">
        <v>179.6</v>
      </c>
      <c r="AE34" s="499" t="s">
        <v>51</v>
      </c>
      <c r="AF34" s="505">
        <v>276</v>
      </c>
      <c r="AG34" s="499" t="s">
        <v>51</v>
      </c>
      <c r="AH34" s="505">
        <v>302</v>
      </c>
      <c r="AI34" s="499" t="s">
        <v>51</v>
      </c>
      <c r="AJ34" s="505">
        <v>398.3</v>
      </c>
      <c r="AK34" s="499" t="s">
        <v>51</v>
      </c>
      <c r="AL34" s="528">
        <v>193</v>
      </c>
      <c r="AM34" s="529">
        <v>274</v>
      </c>
      <c r="AN34" s="530">
        <v>170</v>
      </c>
      <c r="AO34" s="1205">
        <v>162</v>
      </c>
    </row>
    <row r="35" spans="1:41">
      <c r="A35" s="501"/>
      <c r="B35" s="520" t="s">
        <v>166</v>
      </c>
      <c r="C35" s="526"/>
      <c r="D35" s="526"/>
      <c r="E35" s="526"/>
      <c r="F35" s="526"/>
      <c r="G35" s="526"/>
      <c r="H35" s="526"/>
      <c r="I35" s="526"/>
      <c r="J35" s="523"/>
      <c r="K35" s="502"/>
      <c r="L35" s="526"/>
      <c r="M35" s="526"/>
      <c r="N35" s="526"/>
      <c r="O35" s="509"/>
      <c r="P35" s="502"/>
      <c r="Q35" s="509"/>
      <c r="R35" s="502"/>
      <c r="S35" s="526"/>
      <c r="T35" s="526"/>
      <c r="U35" s="509"/>
      <c r="V35" s="502"/>
      <c r="W35" s="526">
        <v>2641.21</v>
      </c>
      <c r="X35" s="509">
        <v>4551</v>
      </c>
      <c r="Y35" s="502"/>
      <c r="Z35" s="509">
        <v>5994.5</v>
      </c>
      <c r="AA35" s="502"/>
      <c r="AB35" s="509">
        <v>6436</v>
      </c>
      <c r="AC35" s="502"/>
      <c r="AD35" s="509">
        <v>764.7</v>
      </c>
      <c r="AE35" s="502"/>
      <c r="AF35" s="509">
        <v>761</v>
      </c>
      <c r="AG35" s="502"/>
      <c r="AH35" s="509">
        <v>9287.9</v>
      </c>
      <c r="AI35" s="502"/>
      <c r="AJ35" s="509">
        <v>6296.4000000000005</v>
      </c>
      <c r="AK35" s="502"/>
      <c r="AL35" s="531">
        <v>6794</v>
      </c>
      <c r="AM35" s="532">
        <v>7664</v>
      </c>
      <c r="AN35" s="533">
        <v>6976.15</v>
      </c>
      <c r="AO35" s="1206">
        <f>SUM(AO31:AO34)</f>
        <v>7529</v>
      </c>
    </row>
    <row r="36" spans="1:41">
      <c r="A36" s="498" t="s">
        <v>44</v>
      </c>
      <c r="B36" s="519" t="s">
        <v>201</v>
      </c>
      <c r="C36" s="525">
        <v>340</v>
      </c>
      <c r="D36" s="525">
        <v>353</v>
      </c>
      <c r="E36" s="525">
        <v>396</v>
      </c>
      <c r="F36" s="525">
        <v>453</v>
      </c>
      <c r="G36" s="525">
        <v>518</v>
      </c>
      <c r="H36" s="525">
        <v>571</v>
      </c>
      <c r="I36" s="525">
        <v>646</v>
      </c>
      <c r="J36" s="522">
        <v>674</v>
      </c>
      <c r="K36" s="499" t="s">
        <v>201</v>
      </c>
      <c r="L36" s="525"/>
      <c r="M36" s="525">
        <v>714</v>
      </c>
      <c r="N36" s="525">
        <v>826</v>
      </c>
      <c r="O36" s="505">
        <v>917</v>
      </c>
      <c r="P36" s="499" t="s">
        <v>201</v>
      </c>
      <c r="Q36" s="505">
        <v>1046</v>
      </c>
      <c r="R36" s="499" t="s">
        <v>202</v>
      </c>
      <c r="S36" s="525">
        <v>1195</v>
      </c>
      <c r="T36" s="525">
        <v>1331</v>
      </c>
      <c r="U36" s="505">
        <v>1369</v>
      </c>
      <c r="V36" s="499" t="s">
        <v>202</v>
      </c>
      <c r="W36" s="525">
        <v>1482</v>
      </c>
      <c r="X36" s="505">
        <v>1608</v>
      </c>
      <c r="Y36" s="499" t="s">
        <v>202</v>
      </c>
      <c r="Z36" s="505">
        <v>1758</v>
      </c>
      <c r="AA36" s="499" t="s">
        <v>202</v>
      </c>
      <c r="AB36" s="505">
        <v>1875.5</v>
      </c>
      <c r="AC36" s="499" t="s">
        <v>202</v>
      </c>
      <c r="AD36" s="505">
        <v>2015.3</v>
      </c>
      <c r="AE36" s="499" t="s">
        <v>202</v>
      </c>
      <c r="AF36" s="505">
        <v>2104</v>
      </c>
      <c r="AG36" s="499" t="s">
        <v>202</v>
      </c>
      <c r="AH36" s="505">
        <v>2165.04</v>
      </c>
      <c r="AI36" s="499" t="s">
        <v>202</v>
      </c>
      <c r="AJ36" s="505">
        <v>2207</v>
      </c>
      <c r="AK36" s="499" t="s">
        <v>202</v>
      </c>
      <c r="AL36" s="528">
        <v>2285.6999999999998</v>
      </c>
      <c r="AM36" s="529">
        <v>2443.9</v>
      </c>
      <c r="AN36" s="530">
        <v>2538.8000000000002</v>
      </c>
      <c r="AO36" s="1222">
        <v>2618</v>
      </c>
    </row>
    <row r="37" spans="1:41">
      <c r="A37" s="498" t="s">
        <v>134</v>
      </c>
      <c r="B37" s="519" t="s">
        <v>188</v>
      </c>
      <c r="C37" s="525">
        <v>96</v>
      </c>
      <c r="D37" s="525">
        <v>42</v>
      </c>
      <c r="E37" s="525">
        <v>67</v>
      </c>
      <c r="F37" s="525">
        <v>47</v>
      </c>
      <c r="G37" s="525">
        <v>52</v>
      </c>
      <c r="H37" s="525">
        <v>76</v>
      </c>
      <c r="I37" s="525">
        <v>68</v>
      </c>
      <c r="J37" s="522">
        <v>55</v>
      </c>
      <c r="K37" s="499" t="s">
        <v>188</v>
      </c>
      <c r="L37" s="525"/>
      <c r="M37" s="525">
        <v>42</v>
      </c>
      <c r="N37" s="525">
        <v>82</v>
      </c>
      <c r="O37" s="505">
        <v>112</v>
      </c>
      <c r="P37" s="499" t="s">
        <v>203</v>
      </c>
      <c r="Q37" s="505">
        <v>126</v>
      </c>
      <c r="R37" s="499" t="s">
        <v>204</v>
      </c>
      <c r="S37" s="525">
        <v>130</v>
      </c>
      <c r="T37" s="525">
        <v>111</v>
      </c>
      <c r="U37" s="505">
        <v>110</v>
      </c>
      <c r="V37" s="499" t="s">
        <v>205</v>
      </c>
      <c r="W37" s="525">
        <v>86</v>
      </c>
      <c r="X37" s="505">
        <v>114</v>
      </c>
      <c r="Y37" s="499" t="s">
        <v>205</v>
      </c>
      <c r="Z37" s="505">
        <v>79</v>
      </c>
      <c r="AA37" s="499" t="s">
        <v>205</v>
      </c>
      <c r="AB37" s="505">
        <v>200.1</v>
      </c>
      <c r="AC37" s="499" t="s">
        <v>205</v>
      </c>
      <c r="AD37" s="505">
        <v>252.5</v>
      </c>
      <c r="AE37" s="499" t="s">
        <v>205</v>
      </c>
      <c r="AF37" s="505">
        <v>179</v>
      </c>
      <c r="AG37" s="499" t="s">
        <v>205</v>
      </c>
      <c r="AH37" s="505">
        <v>199.94</v>
      </c>
      <c r="AI37" s="499" t="s">
        <v>205</v>
      </c>
      <c r="AJ37" s="505">
        <v>229</v>
      </c>
      <c r="AK37" s="499" t="s">
        <v>205</v>
      </c>
      <c r="AL37" s="528">
        <v>117.1</v>
      </c>
      <c r="AM37" s="529">
        <v>88.8</v>
      </c>
      <c r="AN37" s="530">
        <v>240.7</v>
      </c>
      <c r="AO37" s="1218">
        <v>202</v>
      </c>
    </row>
    <row r="38" spans="1:41">
      <c r="A38" s="498"/>
      <c r="B38" s="519" t="s">
        <v>206</v>
      </c>
      <c r="C38" s="525">
        <v>59</v>
      </c>
      <c r="D38" s="525">
        <v>72</v>
      </c>
      <c r="E38" s="525">
        <v>58</v>
      </c>
      <c r="F38" s="525">
        <v>77</v>
      </c>
      <c r="G38" s="525">
        <v>86</v>
      </c>
      <c r="H38" s="525">
        <v>84</v>
      </c>
      <c r="I38" s="525">
        <v>82</v>
      </c>
      <c r="J38" s="522">
        <v>91</v>
      </c>
      <c r="K38" s="499" t="s">
        <v>203</v>
      </c>
      <c r="L38" s="525"/>
      <c r="M38" s="525">
        <v>115</v>
      </c>
      <c r="N38" s="525">
        <v>128</v>
      </c>
      <c r="O38" s="505">
        <v>116</v>
      </c>
      <c r="P38" s="499" t="s">
        <v>207</v>
      </c>
      <c r="Q38" s="505">
        <v>425</v>
      </c>
      <c r="R38" s="499" t="s">
        <v>208</v>
      </c>
      <c r="S38" s="525">
        <v>398</v>
      </c>
      <c r="T38" s="525">
        <v>363</v>
      </c>
      <c r="U38" s="505">
        <v>312</v>
      </c>
      <c r="V38" s="499" t="s">
        <v>209</v>
      </c>
      <c r="W38" s="525">
        <v>113</v>
      </c>
      <c r="X38" s="505">
        <v>125</v>
      </c>
      <c r="Y38" s="499" t="s">
        <v>209</v>
      </c>
      <c r="Z38" s="505">
        <v>122</v>
      </c>
      <c r="AA38" s="499" t="s">
        <v>209</v>
      </c>
      <c r="AB38" s="505">
        <v>128.30000000000001</v>
      </c>
      <c r="AC38" s="499" t="s">
        <v>209</v>
      </c>
      <c r="AD38" s="505">
        <v>128.19999999999999</v>
      </c>
      <c r="AE38" s="499" t="s">
        <v>209</v>
      </c>
      <c r="AF38" s="505">
        <v>128</v>
      </c>
      <c r="AG38" s="499" t="s">
        <v>209</v>
      </c>
      <c r="AH38" s="505">
        <v>132.72999999999999</v>
      </c>
      <c r="AI38" s="499" t="s">
        <v>209</v>
      </c>
      <c r="AJ38" s="505">
        <v>147</v>
      </c>
      <c r="AK38" s="499" t="s">
        <v>209</v>
      </c>
      <c r="AL38" s="528">
        <v>124.1</v>
      </c>
      <c r="AM38" s="529">
        <v>128.6</v>
      </c>
      <c r="AN38" s="530">
        <v>114.1</v>
      </c>
      <c r="AO38" s="1218">
        <v>117</v>
      </c>
    </row>
    <row r="39" spans="1:41">
      <c r="A39" s="498"/>
      <c r="B39" s="519" t="s">
        <v>210</v>
      </c>
      <c r="C39" s="525">
        <v>33</v>
      </c>
      <c r="D39" s="525">
        <v>40</v>
      </c>
      <c r="E39" s="525">
        <v>49</v>
      </c>
      <c r="F39" s="525">
        <v>64</v>
      </c>
      <c r="G39" s="525">
        <v>56</v>
      </c>
      <c r="H39" s="525">
        <v>77</v>
      </c>
      <c r="I39" s="525">
        <v>76</v>
      </c>
      <c r="J39" s="522">
        <v>69</v>
      </c>
      <c r="K39" s="499" t="s">
        <v>210</v>
      </c>
      <c r="L39" s="525"/>
      <c r="M39" s="525">
        <v>89</v>
      </c>
      <c r="N39" s="525">
        <v>61</v>
      </c>
      <c r="O39" s="505">
        <v>66</v>
      </c>
      <c r="P39" s="499" t="s">
        <v>189</v>
      </c>
      <c r="Q39" s="505">
        <v>169</v>
      </c>
      <c r="R39" s="499" t="s">
        <v>211</v>
      </c>
      <c r="S39" s="525">
        <v>130</v>
      </c>
      <c r="T39" s="525">
        <v>138</v>
      </c>
      <c r="U39" s="505">
        <v>148</v>
      </c>
      <c r="V39" s="499" t="s">
        <v>210</v>
      </c>
      <c r="W39" s="525">
        <v>90</v>
      </c>
      <c r="X39" s="505">
        <v>100</v>
      </c>
      <c r="Y39" s="499" t="s">
        <v>210</v>
      </c>
      <c r="Z39" s="505">
        <v>114</v>
      </c>
      <c r="AA39" s="499" t="s">
        <v>210</v>
      </c>
      <c r="AB39" s="505">
        <v>146.9</v>
      </c>
      <c r="AC39" s="499" t="s">
        <v>210</v>
      </c>
      <c r="AD39" s="505">
        <v>134.6</v>
      </c>
      <c r="AE39" s="499" t="s">
        <v>210</v>
      </c>
      <c r="AF39" s="505">
        <v>140</v>
      </c>
      <c r="AG39" s="499" t="s">
        <v>210</v>
      </c>
      <c r="AH39" s="505">
        <v>145.71</v>
      </c>
      <c r="AI39" s="499" t="s">
        <v>210</v>
      </c>
      <c r="AJ39" s="505">
        <v>143</v>
      </c>
      <c r="AK39" s="499" t="s">
        <v>210</v>
      </c>
      <c r="AL39" s="528">
        <v>150.5</v>
      </c>
      <c r="AM39" s="529">
        <v>179.7</v>
      </c>
      <c r="AN39" s="530">
        <v>153.5</v>
      </c>
      <c r="AO39" s="1218">
        <v>175</v>
      </c>
    </row>
    <row r="40" spans="1:41">
      <c r="A40" s="498"/>
      <c r="B40" s="519" t="s">
        <v>212</v>
      </c>
      <c r="C40" s="525">
        <v>12</v>
      </c>
      <c r="D40" s="525">
        <v>8</v>
      </c>
      <c r="E40" s="525">
        <v>9</v>
      </c>
      <c r="F40" s="525">
        <v>7</v>
      </c>
      <c r="G40" s="525">
        <v>8</v>
      </c>
      <c r="H40" s="525">
        <v>9</v>
      </c>
      <c r="I40" s="525">
        <v>10</v>
      </c>
      <c r="J40" s="522">
        <v>10</v>
      </c>
      <c r="K40" s="499" t="s">
        <v>212</v>
      </c>
      <c r="L40" s="525"/>
      <c r="M40" s="525">
        <v>10</v>
      </c>
      <c r="N40" s="525">
        <v>11</v>
      </c>
      <c r="O40" s="505">
        <v>14</v>
      </c>
      <c r="P40" s="499"/>
      <c r="Q40" s="505"/>
      <c r="R40" s="499"/>
      <c r="S40" s="525"/>
      <c r="T40" s="525"/>
      <c r="U40" s="505"/>
      <c r="V40" s="499" t="s">
        <v>211</v>
      </c>
      <c r="W40" s="525">
        <v>387</v>
      </c>
      <c r="X40" s="505">
        <v>428</v>
      </c>
      <c r="Y40" s="499" t="s">
        <v>211</v>
      </c>
      <c r="Z40" s="505">
        <v>416</v>
      </c>
      <c r="AA40" s="499" t="s">
        <v>211</v>
      </c>
      <c r="AB40" s="505">
        <v>646.70000000000005</v>
      </c>
      <c r="AC40" s="499" t="s">
        <v>211</v>
      </c>
      <c r="AD40" s="505">
        <v>645.5</v>
      </c>
      <c r="AE40" s="499" t="s">
        <v>211</v>
      </c>
      <c r="AF40" s="505">
        <v>596</v>
      </c>
      <c r="AG40" s="499" t="s">
        <v>211</v>
      </c>
      <c r="AH40" s="505">
        <v>560.58000000000004</v>
      </c>
      <c r="AI40" s="499" t="s">
        <v>211</v>
      </c>
      <c r="AJ40" s="505">
        <v>578</v>
      </c>
      <c r="AK40" s="499" t="s">
        <v>211</v>
      </c>
      <c r="AL40" s="528">
        <v>664.4</v>
      </c>
      <c r="AM40" s="529">
        <v>674.5</v>
      </c>
      <c r="AN40" s="530">
        <v>675.4</v>
      </c>
      <c r="AO40" s="1218">
        <v>697</v>
      </c>
    </row>
    <row r="41" spans="1:41">
      <c r="A41" s="498"/>
      <c r="B41" s="519" t="s">
        <v>213</v>
      </c>
      <c r="C41" s="525">
        <v>159</v>
      </c>
      <c r="D41" s="525">
        <v>192</v>
      </c>
      <c r="E41" s="525">
        <v>186</v>
      </c>
      <c r="F41" s="525">
        <v>211</v>
      </c>
      <c r="G41" s="525">
        <v>251</v>
      </c>
      <c r="H41" s="525">
        <v>259</v>
      </c>
      <c r="I41" s="525">
        <v>206</v>
      </c>
      <c r="J41" s="522">
        <v>304</v>
      </c>
      <c r="K41" s="499" t="s">
        <v>207</v>
      </c>
      <c r="L41" s="525"/>
      <c r="M41" s="525">
        <v>301</v>
      </c>
      <c r="N41" s="525">
        <v>400</v>
      </c>
      <c r="O41" s="505">
        <v>461</v>
      </c>
      <c r="P41" s="499"/>
      <c r="Q41" s="505"/>
      <c r="R41" s="499"/>
      <c r="S41" s="525"/>
      <c r="T41" s="525"/>
      <c r="U41" s="505"/>
      <c r="V41" s="499"/>
      <c r="W41" s="525"/>
      <c r="X41" s="505"/>
      <c r="Y41" s="499"/>
      <c r="Z41" s="505"/>
      <c r="AA41" s="499"/>
      <c r="AB41" s="505"/>
      <c r="AC41" s="499"/>
      <c r="AD41" s="505"/>
      <c r="AE41" s="499"/>
      <c r="AF41" s="505"/>
      <c r="AG41" s="499"/>
      <c r="AH41" s="505"/>
      <c r="AI41" s="499"/>
      <c r="AJ41" s="505"/>
      <c r="AK41" s="499"/>
      <c r="AL41" s="528"/>
      <c r="AM41" s="529"/>
      <c r="AN41" s="530"/>
      <c r="AO41" s="1099"/>
    </row>
    <row r="42" spans="1:41">
      <c r="A42" s="498"/>
      <c r="B42" s="519" t="s">
        <v>164</v>
      </c>
      <c r="C42" s="525">
        <v>2</v>
      </c>
      <c r="D42" s="525">
        <v>2</v>
      </c>
      <c r="E42" s="525">
        <v>3</v>
      </c>
      <c r="F42" s="525">
        <v>4</v>
      </c>
      <c r="G42" s="525">
        <v>7</v>
      </c>
      <c r="H42" s="525">
        <v>3</v>
      </c>
      <c r="I42" s="525">
        <v>8</v>
      </c>
      <c r="J42" s="522">
        <v>8</v>
      </c>
      <c r="K42" s="499" t="s">
        <v>214</v>
      </c>
      <c r="L42" s="525"/>
      <c r="M42" s="525">
        <v>8</v>
      </c>
      <c r="N42" s="525">
        <v>8</v>
      </c>
      <c r="O42" s="505">
        <v>11</v>
      </c>
      <c r="P42" s="499"/>
      <c r="Q42" s="505"/>
      <c r="R42" s="499"/>
      <c r="S42" s="525"/>
      <c r="T42" s="525"/>
      <c r="U42" s="505"/>
      <c r="V42" s="499"/>
      <c r="W42" s="525"/>
      <c r="X42" s="505"/>
      <c r="Y42" s="499"/>
      <c r="Z42" s="505"/>
      <c r="AA42" s="499"/>
      <c r="AB42" s="505"/>
      <c r="AC42" s="499"/>
      <c r="AD42" s="505"/>
      <c r="AE42" s="499"/>
      <c r="AF42" s="505"/>
      <c r="AG42" s="499"/>
      <c r="AH42" s="505"/>
      <c r="AI42" s="499"/>
      <c r="AJ42" s="505"/>
      <c r="AK42" s="499"/>
      <c r="AL42" s="528"/>
      <c r="AM42" s="529"/>
      <c r="AN42" s="530"/>
      <c r="AO42" s="1099"/>
    </row>
    <row r="43" spans="1:41">
      <c r="A43" s="501"/>
      <c r="B43" s="520" t="s">
        <v>166</v>
      </c>
      <c r="C43" s="526">
        <v>701</v>
      </c>
      <c r="D43" s="526">
        <v>709</v>
      </c>
      <c r="E43" s="526">
        <v>768</v>
      </c>
      <c r="F43" s="526">
        <v>863</v>
      </c>
      <c r="G43" s="526">
        <v>978</v>
      </c>
      <c r="H43" s="526">
        <v>1079</v>
      </c>
      <c r="I43" s="526">
        <v>1096</v>
      </c>
      <c r="J43" s="523">
        <v>1211</v>
      </c>
      <c r="K43" s="502"/>
      <c r="L43" s="526"/>
      <c r="M43" s="526">
        <v>1279</v>
      </c>
      <c r="N43" s="526">
        <v>1516</v>
      </c>
      <c r="O43" s="509">
        <v>1697</v>
      </c>
      <c r="P43" s="502"/>
      <c r="Q43" s="509">
        <v>1766</v>
      </c>
      <c r="R43" s="502"/>
      <c r="S43" s="526">
        <v>1853</v>
      </c>
      <c r="T43" s="526">
        <v>1943</v>
      </c>
      <c r="U43" s="509">
        <v>1939</v>
      </c>
      <c r="V43" s="502"/>
      <c r="W43" s="526">
        <v>2158</v>
      </c>
      <c r="X43" s="509">
        <v>2375</v>
      </c>
      <c r="Y43" s="502"/>
      <c r="Z43" s="509">
        <v>2489</v>
      </c>
      <c r="AA43" s="502"/>
      <c r="AB43" s="509">
        <v>2997.5</v>
      </c>
      <c r="AC43" s="502"/>
      <c r="AD43" s="509">
        <v>3176.1</v>
      </c>
      <c r="AE43" s="502"/>
      <c r="AF43" s="509">
        <v>3147</v>
      </c>
      <c r="AG43" s="502"/>
      <c r="AH43" s="509">
        <v>3204</v>
      </c>
      <c r="AI43" s="502"/>
      <c r="AJ43" s="509">
        <v>3304</v>
      </c>
      <c r="AK43" s="502"/>
      <c r="AL43" s="531">
        <v>3341.7999999999997</v>
      </c>
      <c r="AM43" s="532">
        <v>3515.5</v>
      </c>
      <c r="AN43" s="533">
        <v>3722.5</v>
      </c>
      <c r="AO43" s="1219">
        <f>SUM(AO36:AO42)</f>
        <v>3809</v>
      </c>
    </row>
  </sheetData>
  <hyperlinks>
    <hyperlink ref="AN1" location="Content!A1" display="ToC" xr:uid="{A0C05B03-3BE4-48D7-93C6-062396770796}"/>
  </hyperlinks>
  <pageMargins left="0.7" right="0.7" top="0.75" bottom="0.75" header="0.3" footer="0.3"/>
  <pageSetup orientation="portrait" r:id="rId1"/>
  <ignoredErrors>
    <ignoredError sqref="AM15:AO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4864-68AA-44A3-BD17-69D4A691BF83}">
  <dimension ref="A1:AJ37"/>
  <sheetViews>
    <sheetView zoomScale="80" zoomScaleNormal="80" workbookViewId="0">
      <pane xSplit="1" ySplit="5" topLeftCell="U6" activePane="bottomRight" state="frozenSplit"/>
      <selection pane="topRight" activeCell="M1" sqref="M1"/>
      <selection pane="bottomLeft" activeCell="A6" sqref="A6"/>
      <selection pane="bottomRight" activeCell="AE46" sqref="AE46"/>
    </sheetView>
  </sheetViews>
  <sheetFormatPr defaultRowHeight="15"/>
  <cols>
    <col min="1" max="1" width="22" customWidth="1"/>
    <col min="2" max="2" width="31.42578125" customWidth="1"/>
    <col min="11" max="11" width="31.7109375" customWidth="1"/>
    <col min="15" max="15" width="31.7109375" customWidth="1"/>
    <col min="17" max="17" width="31.7109375" customWidth="1"/>
    <col min="19" max="19" width="31.7109375" customWidth="1"/>
    <col min="21" max="21" width="31.7109375" customWidth="1"/>
    <col min="23" max="23" width="43.7109375" bestFit="1" customWidth="1"/>
    <col min="26" max="26" width="60.85546875" bestFit="1" customWidth="1"/>
    <col min="36" max="36" width="10.28515625" customWidth="1"/>
  </cols>
  <sheetData>
    <row r="1" spans="1:36" ht="21">
      <c r="A1" s="496" t="s">
        <v>32</v>
      </c>
      <c r="AJ1" s="888" t="s">
        <v>458</v>
      </c>
    </row>
    <row r="2" spans="1:36" ht="18.75">
      <c r="A2" s="495" t="s">
        <v>128</v>
      </c>
    </row>
    <row r="3" spans="1:36" ht="18.75">
      <c r="A3" s="495" t="s">
        <v>28</v>
      </c>
      <c r="AJ3" s="1086"/>
    </row>
    <row r="4" spans="1:36">
      <c r="AJ4" s="1086"/>
    </row>
    <row r="5" spans="1:36">
      <c r="A5" s="515" t="s">
        <v>34</v>
      </c>
      <c r="B5" s="535" t="s">
        <v>215</v>
      </c>
      <c r="C5" s="524">
        <v>1996</v>
      </c>
      <c r="D5" s="524">
        <v>1997</v>
      </c>
      <c r="E5" s="524">
        <v>1998</v>
      </c>
      <c r="F5" s="524">
        <v>1999</v>
      </c>
      <c r="G5" s="524">
        <v>2000</v>
      </c>
      <c r="H5" s="524">
        <v>2001</v>
      </c>
      <c r="I5" s="524">
        <v>2002</v>
      </c>
      <c r="J5" s="527">
        <v>2003</v>
      </c>
      <c r="K5" s="535" t="s">
        <v>215</v>
      </c>
      <c r="L5" s="524">
        <v>2004</v>
      </c>
      <c r="M5" s="524">
        <v>2005</v>
      </c>
      <c r="N5" s="527">
        <v>2006</v>
      </c>
      <c r="O5" s="535" t="s">
        <v>215</v>
      </c>
      <c r="P5" s="527">
        <v>2007</v>
      </c>
      <c r="Q5" s="535" t="s">
        <v>215</v>
      </c>
      <c r="R5" s="527">
        <v>2008</v>
      </c>
      <c r="S5" s="535" t="s">
        <v>215</v>
      </c>
      <c r="T5" s="527">
        <v>2009</v>
      </c>
      <c r="U5" s="535" t="s">
        <v>215</v>
      </c>
      <c r="V5" s="527">
        <v>2010</v>
      </c>
      <c r="W5" s="535" t="s">
        <v>215</v>
      </c>
      <c r="X5" s="524">
        <v>2011</v>
      </c>
      <c r="Y5" s="527">
        <v>2012</v>
      </c>
      <c r="Z5" s="516" t="s">
        <v>215</v>
      </c>
      <c r="AA5" s="524">
        <v>2013</v>
      </c>
      <c r="AB5" s="524">
        <v>2014</v>
      </c>
      <c r="AC5" s="524">
        <v>2015</v>
      </c>
      <c r="AD5" s="524">
        <v>2016</v>
      </c>
      <c r="AE5" s="524">
        <v>2017</v>
      </c>
      <c r="AF5" s="524">
        <v>2018</v>
      </c>
      <c r="AG5" s="524">
        <v>2019</v>
      </c>
      <c r="AH5" s="524">
        <v>2020</v>
      </c>
      <c r="AI5" s="517">
        <v>2021</v>
      </c>
      <c r="AJ5" s="1187">
        <v>2022</v>
      </c>
    </row>
    <row r="6" spans="1:36">
      <c r="A6" s="498" t="s">
        <v>36</v>
      </c>
      <c r="B6" s="504" t="s">
        <v>190</v>
      </c>
      <c r="C6" s="525">
        <v>1851</v>
      </c>
      <c r="D6" s="525">
        <v>1943</v>
      </c>
      <c r="E6" s="525">
        <v>2116</v>
      </c>
      <c r="F6" s="525">
        <v>2382</v>
      </c>
      <c r="G6" s="525">
        <v>2653</v>
      </c>
      <c r="H6" s="525">
        <v>2917</v>
      </c>
      <c r="I6" s="525">
        <v>3157</v>
      </c>
      <c r="J6" s="505">
        <v>3307</v>
      </c>
      <c r="K6" s="504" t="s">
        <v>190</v>
      </c>
      <c r="L6" s="525">
        <v>3365</v>
      </c>
      <c r="M6" s="525">
        <v>3449</v>
      </c>
      <c r="N6" s="505">
        <v>3555</v>
      </c>
      <c r="O6" s="504" t="s">
        <v>190</v>
      </c>
      <c r="P6" s="505">
        <v>3689</v>
      </c>
      <c r="Q6" s="504" t="s">
        <v>190</v>
      </c>
      <c r="R6" s="505">
        <v>3864</v>
      </c>
      <c r="S6" s="504" t="s">
        <v>190</v>
      </c>
      <c r="T6" s="505">
        <v>3969</v>
      </c>
      <c r="U6" s="504" t="s">
        <v>190</v>
      </c>
      <c r="V6" s="505">
        <v>3966</v>
      </c>
      <c r="W6" s="504" t="s">
        <v>190</v>
      </c>
      <c r="X6" s="525">
        <v>3949</v>
      </c>
      <c r="Y6" s="505">
        <v>3987</v>
      </c>
      <c r="Z6" s="499" t="s">
        <v>219</v>
      </c>
      <c r="AA6" s="525">
        <v>4112</v>
      </c>
      <c r="AB6" s="525">
        <v>4221</v>
      </c>
      <c r="AC6" s="525">
        <v>4227</v>
      </c>
      <c r="AD6" s="525">
        <v>4310</v>
      </c>
      <c r="AE6" s="525">
        <v>4378</v>
      </c>
      <c r="AF6" s="525">
        <v>4276</v>
      </c>
      <c r="AG6" s="525">
        <v>4241</v>
      </c>
      <c r="AH6" s="525">
        <v>4099</v>
      </c>
      <c r="AI6" s="537">
        <v>3996</v>
      </c>
      <c r="AJ6" s="1099">
        <v>3981</v>
      </c>
    </row>
    <row r="7" spans="1:36">
      <c r="A7" s="498"/>
      <c r="B7" s="504" t="s">
        <v>156</v>
      </c>
      <c r="C7" s="525">
        <v>78</v>
      </c>
      <c r="D7" s="525">
        <v>78</v>
      </c>
      <c r="E7" s="525">
        <v>82</v>
      </c>
      <c r="F7" s="525">
        <v>101</v>
      </c>
      <c r="G7" s="525">
        <v>107</v>
      </c>
      <c r="H7" s="525">
        <v>114</v>
      </c>
      <c r="I7" s="525">
        <v>116</v>
      </c>
      <c r="J7" s="505">
        <v>123</v>
      </c>
      <c r="K7" s="504" t="s">
        <v>156</v>
      </c>
      <c r="L7" s="525">
        <v>129</v>
      </c>
      <c r="M7" s="525">
        <v>138</v>
      </c>
      <c r="N7" s="505">
        <v>141</v>
      </c>
      <c r="O7" s="504" t="s">
        <v>156</v>
      </c>
      <c r="P7" s="505">
        <v>158</v>
      </c>
      <c r="Q7" s="504" t="s">
        <v>156</v>
      </c>
      <c r="R7" s="505">
        <v>152</v>
      </c>
      <c r="S7" s="504" t="s">
        <v>156</v>
      </c>
      <c r="T7" s="505">
        <v>155</v>
      </c>
      <c r="U7" s="504" t="s">
        <v>156</v>
      </c>
      <c r="V7" s="505">
        <v>157</v>
      </c>
      <c r="W7" s="504" t="s">
        <v>156</v>
      </c>
      <c r="X7" s="525">
        <v>158</v>
      </c>
      <c r="Y7" s="505">
        <v>163</v>
      </c>
      <c r="Z7" s="499" t="s">
        <v>220</v>
      </c>
      <c r="AA7" s="525">
        <v>165</v>
      </c>
      <c r="AB7" s="525">
        <v>162</v>
      </c>
      <c r="AC7" s="525">
        <v>155</v>
      </c>
      <c r="AD7" s="525">
        <v>153</v>
      </c>
      <c r="AE7" s="525">
        <v>150</v>
      </c>
      <c r="AF7" s="525">
        <v>166</v>
      </c>
      <c r="AG7" s="525">
        <v>185</v>
      </c>
      <c r="AH7" s="525">
        <v>196</v>
      </c>
      <c r="AI7" s="500">
        <v>215</v>
      </c>
      <c r="AJ7" s="1099">
        <v>189</v>
      </c>
    </row>
    <row r="8" spans="1:36">
      <c r="A8" s="498"/>
      <c r="B8" s="504" t="s">
        <v>164</v>
      </c>
      <c r="C8" s="525">
        <v>1742</v>
      </c>
      <c r="D8" s="525">
        <v>1732</v>
      </c>
      <c r="E8" s="525">
        <v>1829</v>
      </c>
      <c r="F8" s="525">
        <v>1818</v>
      </c>
      <c r="G8" s="525">
        <v>1953</v>
      </c>
      <c r="H8" s="525">
        <v>2038</v>
      </c>
      <c r="I8" s="525">
        <v>2148</v>
      </c>
      <c r="J8" s="505">
        <v>2391</v>
      </c>
      <c r="K8" s="504" t="s">
        <v>164</v>
      </c>
      <c r="L8" s="525">
        <v>2424</v>
      </c>
      <c r="M8" s="525">
        <v>2531</v>
      </c>
      <c r="N8" s="505">
        <v>2623</v>
      </c>
      <c r="O8" s="504" t="s">
        <v>164</v>
      </c>
      <c r="P8" s="505">
        <v>2652</v>
      </c>
      <c r="Q8" s="504" t="s">
        <v>164</v>
      </c>
      <c r="R8" s="505">
        <v>2669</v>
      </c>
      <c r="S8" s="504" t="s">
        <v>164</v>
      </c>
      <c r="T8" s="505">
        <v>2694</v>
      </c>
      <c r="U8" s="504" t="s">
        <v>164</v>
      </c>
      <c r="V8" s="505">
        <v>2655</v>
      </c>
      <c r="W8" s="504" t="s">
        <v>164</v>
      </c>
      <c r="X8" s="525">
        <v>2619</v>
      </c>
      <c r="Y8" s="505">
        <v>2560</v>
      </c>
      <c r="Z8" s="499" t="s">
        <v>221</v>
      </c>
      <c r="AA8" s="525">
        <v>4277</v>
      </c>
      <c r="AB8" s="525">
        <v>4383</v>
      </c>
      <c r="AC8" s="525">
        <v>4382</v>
      </c>
      <c r="AD8" s="525">
        <v>4463</v>
      </c>
      <c r="AE8" s="525">
        <v>4463</v>
      </c>
      <c r="AF8" s="525">
        <v>4442</v>
      </c>
      <c r="AG8" s="525">
        <v>4426</v>
      </c>
      <c r="AH8" s="525">
        <v>4295</v>
      </c>
      <c r="AI8" s="500">
        <v>4211</v>
      </c>
      <c r="AJ8" s="1099">
        <f>SUM(AJ6:AJ7)</f>
        <v>4170</v>
      </c>
    </row>
    <row r="9" spans="1:36">
      <c r="A9" s="498"/>
      <c r="B9" s="504"/>
      <c r="C9" s="525"/>
      <c r="D9" s="525"/>
      <c r="E9" s="525"/>
      <c r="F9" s="525"/>
      <c r="G9" s="525"/>
      <c r="H9" s="525"/>
      <c r="I9" s="525"/>
      <c r="J9" s="505"/>
      <c r="K9" s="504"/>
      <c r="L9" s="525"/>
      <c r="M9" s="525"/>
      <c r="N9" s="505"/>
      <c r="O9" s="504"/>
      <c r="P9" s="505"/>
      <c r="Q9" s="504"/>
      <c r="R9" s="505"/>
      <c r="S9" s="504"/>
      <c r="T9" s="505"/>
      <c r="U9" s="504"/>
      <c r="V9" s="505"/>
      <c r="W9" s="504"/>
      <c r="X9" s="525"/>
      <c r="Y9" s="505"/>
      <c r="Z9" s="499" t="s">
        <v>51</v>
      </c>
      <c r="AA9" s="525">
        <v>2537</v>
      </c>
      <c r="AB9" s="525">
        <v>2509</v>
      </c>
      <c r="AC9" s="525">
        <v>2433</v>
      </c>
      <c r="AD9" s="525">
        <v>2338</v>
      </c>
      <c r="AE9" s="525">
        <v>2387</v>
      </c>
      <c r="AF9" s="525">
        <v>2254</v>
      </c>
      <c r="AG9" s="525">
        <v>2179</v>
      </c>
      <c r="AH9" s="525">
        <v>2108</v>
      </c>
      <c r="AI9" s="500">
        <v>2050</v>
      </c>
      <c r="AJ9" s="1099">
        <v>2128</v>
      </c>
    </row>
    <row r="10" spans="1:36">
      <c r="A10" s="501"/>
      <c r="B10" s="507" t="s">
        <v>166</v>
      </c>
      <c r="C10" s="526">
        <v>3671</v>
      </c>
      <c r="D10" s="526">
        <v>3753</v>
      </c>
      <c r="E10" s="526">
        <v>4027</v>
      </c>
      <c r="F10" s="526">
        <v>4301</v>
      </c>
      <c r="G10" s="526">
        <v>4713</v>
      </c>
      <c r="H10" s="526">
        <v>5069</v>
      </c>
      <c r="I10" s="526">
        <v>5421</v>
      </c>
      <c r="J10" s="509">
        <v>5821</v>
      </c>
      <c r="K10" s="507" t="s">
        <v>166</v>
      </c>
      <c r="L10" s="526">
        <v>5918</v>
      </c>
      <c r="M10" s="526">
        <v>6118</v>
      </c>
      <c r="N10" s="509">
        <v>6319</v>
      </c>
      <c r="O10" s="507" t="s">
        <v>166</v>
      </c>
      <c r="P10" s="509">
        <v>6499</v>
      </c>
      <c r="Q10" s="507" t="s">
        <v>166</v>
      </c>
      <c r="R10" s="509">
        <v>6685</v>
      </c>
      <c r="S10" s="507" t="s">
        <v>166</v>
      </c>
      <c r="T10" s="509">
        <v>6818</v>
      </c>
      <c r="U10" s="507" t="s">
        <v>166</v>
      </c>
      <c r="V10" s="509">
        <v>6778</v>
      </c>
      <c r="W10" s="507" t="s">
        <v>166</v>
      </c>
      <c r="X10" s="526">
        <v>6726</v>
      </c>
      <c r="Y10" s="509">
        <v>6710</v>
      </c>
      <c r="Z10" s="502" t="s">
        <v>166</v>
      </c>
      <c r="AA10" s="526">
        <v>6814</v>
      </c>
      <c r="AB10" s="526">
        <v>6892</v>
      </c>
      <c r="AC10" s="526">
        <v>6815</v>
      </c>
      <c r="AD10" s="526">
        <v>6801</v>
      </c>
      <c r="AE10" s="526">
        <v>6850</v>
      </c>
      <c r="AF10" s="526">
        <v>6696</v>
      </c>
      <c r="AG10" s="526">
        <v>6605</v>
      </c>
      <c r="AH10" s="526">
        <v>6403</v>
      </c>
      <c r="AI10" s="510">
        <v>6261</v>
      </c>
      <c r="AJ10" s="1223">
        <v>6298</v>
      </c>
    </row>
    <row r="11" spans="1:36">
      <c r="A11" s="498" t="s">
        <v>38</v>
      </c>
      <c r="B11" s="504" t="s">
        <v>216</v>
      </c>
      <c r="C11" s="525">
        <v>1073</v>
      </c>
      <c r="D11" s="525">
        <v>1070</v>
      </c>
      <c r="E11" s="525">
        <v>1078</v>
      </c>
      <c r="F11" s="525">
        <v>1083</v>
      </c>
      <c r="G11" s="525">
        <v>1088</v>
      </c>
      <c r="H11" s="525">
        <v>1096</v>
      </c>
      <c r="I11" s="525">
        <v>1105</v>
      </c>
      <c r="J11" s="505">
        <v>1126</v>
      </c>
      <c r="K11" s="504" t="s">
        <v>216</v>
      </c>
      <c r="L11" s="525">
        <v>1243</v>
      </c>
      <c r="M11" s="525">
        <v>1358</v>
      </c>
      <c r="N11" s="505">
        <v>1468</v>
      </c>
      <c r="O11" s="504" t="s">
        <v>216</v>
      </c>
      <c r="P11" s="505">
        <v>1567</v>
      </c>
      <c r="Q11" s="504" t="s">
        <v>216</v>
      </c>
      <c r="R11" s="505">
        <v>1680</v>
      </c>
      <c r="S11" s="504" t="s">
        <v>216</v>
      </c>
      <c r="T11" s="505">
        <v>1692</v>
      </c>
      <c r="U11" s="504" t="s">
        <v>216</v>
      </c>
      <c r="V11" s="505">
        <v>1703</v>
      </c>
      <c r="W11" s="504" t="s">
        <v>216</v>
      </c>
      <c r="X11" s="525">
        <v>1711</v>
      </c>
      <c r="Y11" s="505">
        <v>1713</v>
      </c>
      <c r="Z11" s="499" t="s">
        <v>216</v>
      </c>
      <c r="AA11" s="525">
        <v>1701</v>
      </c>
      <c r="AB11" s="525">
        <v>1702</v>
      </c>
      <c r="AC11" s="525">
        <v>1702</v>
      </c>
      <c r="AD11" s="525">
        <v>1702</v>
      </c>
      <c r="AE11" s="525">
        <v>1696</v>
      </c>
      <c r="AF11" s="525">
        <v>1690</v>
      </c>
      <c r="AG11" s="525">
        <v>1682</v>
      </c>
      <c r="AH11" s="525">
        <v>1666</v>
      </c>
      <c r="AI11" s="537">
        <v>1665</v>
      </c>
      <c r="AJ11" s="1099">
        <v>1662</v>
      </c>
    </row>
    <row r="12" spans="1:36">
      <c r="A12" s="498"/>
      <c r="B12" s="504" t="s">
        <v>217</v>
      </c>
      <c r="C12" s="525">
        <v>45</v>
      </c>
      <c r="D12" s="525">
        <v>47</v>
      </c>
      <c r="E12" s="525">
        <v>49</v>
      </c>
      <c r="F12" s="525">
        <v>51</v>
      </c>
      <c r="G12" s="525">
        <v>51</v>
      </c>
      <c r="H12" s="525">
        <v>51</v>
      </c>
      <c r="I12" s="525">
        <v>51</v>
      </c>
      <c r="J12" s="505">
        <v>51</v>
      </c>
      <c r="K12" s="504" t="s">
        <v>217</v>
      </c>
      <c r="L12" s="525">
        <v>51</v>
      </c>
      <c r="M12" s="525">
        <v>51</v>
      </c>
      <c r="N12" s="505">
        <v>51</v>
      </c>
      <c r="O12" s="504" t="s">
        <v>217</v>
      </c>
      <c r="P12" s="505">
        <v>52</v>
      </c>
      <c r="Q12" s="504" t="s">
        <v>217</v>
      </c>
      <c r="R12" s="505">
        <v>52</v>
      </c>
      <c r="S12" s="504" t="s">
        <v>217</v>
      </c>
      <c r="T12" s="505">
        <v>52</v>
      </c>
      <c r="U12" s="504" t="s">
        <v>217</v>
      </c>
      <c r="V12" s="505">
        <v>52</v>
      </c>
      <c r="W12" s="504" t="s">
        <v>217</v>
      </c>
      <c r="X12" s="525">
        <v>51</v>
      </c>
      <c r="Y12" s="505">
        <v>51</v>
      </c>
      <c r="Z12" s="499" t="s">
        <v>217</v>
      </c>
      <c r="AA12" s="525">
        <v>51</v>
      </c>
      <c r="AB12" s="525">
        <v>49</v>
      </c>
      <c r="AC12" s="525">
        <v>48</v>
      </c>
      <c r="AD12" s="525">
        <v>48</v>
      </c>
      <c r="AE12" s="525">
        <v>48</v>
      </c>
      <c r="AF12" s="525">
        <v>48</v>
      </c>
      <c r="AG12" s="525">
        <v>48</v>
      </c>
      <c r="AH12" s="525">
        <v>50</v>
      </c>
      <c r="AI12" s="500">
        <v>50</v>
      </c>
      <c r="AJ12" s="1099">
        <v>50</v>
      </c>
    </row>
    <row r="13" spans="1:36">
      <c r="A13" s="498"/>
      <c r="B13" s="504" t="s">
        <v>218</v>
      </c>
      <c r="C13" s="525">
        <v>131</v>
      </c>
      <c r="D13" s="525">
        <v>134</v>
      </c>
      <c r="E13" s="525">
        <v>137</v>
      </c>
      <c r="F13" s="525">
        <v>140</v>
      </c>
      <c r="G13" s="525">
        <v>142</v>
      </c>
      <c r="H13" s="525">
        <v>146</v>
      </c>
      <c r="I13" s="525">
        <v>148</v>
      </c>
      <c r="J13" s="505">
        <v>148</v>
      </c>
      <c r="K13" s="504" t="s">
        <v>218</v>
      </c>
      <c r="L13" s="525">
        <v>148</v>
      </c>
      <c r="M13" s="525">
        <v>148</v>
      </c>
      <c r="N13" s="505">
        <v>149</v>
      </c>
      <c r="O13" s="504" t="s">
        <v>218</v>
      </c>
      <c r="P13" s="505">
        <v>149</v>
      </c>
      <c r="Q13" s="504" t="s">
        <v>218</v>
      </c>
      <c r="R13" s="505">
        <v>150</v>
      </c>
      <c r="S13" s="504" t="s">
        <v>218</v>
      </c>
      <c r="T13" s="505">
        <v>150</v>
      </c>
      <c r="U13" s="504" t="s">
        <v>218</v>
      </c>
      <c r="V13" s="505">
        <v>149</v>
      </c>
      <c r="W13" s="504" t="s">
        <v>218</v>
      </c>
      <c r="X13" s="525">
        <v>148</v>
      </c>
      <c r="Y13" s="505">
        <v>147</v>
      </c>
      <c r="Z13" s="499" t="s">
        <v>218</v>
      </c>
      <c r="AA13" s="525">
        <v>146</v>
      </c>
      <c r="AB13" s="525">
        <v>142</v>
      </c>
      <c r="AC13" s="525">
        <v>138</v>
      </c>
      <c r="AD13" s="525">
        <v>137</v>
      </c>
      <c r="AE13" s="525">
        <v>136</v>
      </c>
      <c r="AF13" s="525">
        <v>136</v>
      </c>
      <c r="AG13" s="525">
        <v>140</v>
      </c>
      <c r="AH13" s="525">
        <v>161</v>
      </c>
      <c r="AI13" s="500">
        <v>168</v>
      </c>
      <c r="AJ13" s="1099">
        <v>175</v>
      </c>
    </row>
    <row r="14" spans="1:36">
      <c r="A14" s="498"/>
      <c r="B14" s="504" t="s">
        <v>156</v>
      </c>
      <c r="C14" s="525">
        <v>358</v>
      </c>
      <c r="D14" s="525">
        <v>377</v>
      </c>
      <c r="E14" s="525">
        <v>383</v>
      </c>
      <c r="F14" s="525">
        <v>389</v>
      </c>
      <c r="G14" s="525">
        <v>391</v>
      </c>
      <c r="H14" s="525">
        <v>393</v>
      </c>
      <c r="I14" s="525">
        <v>395</v>
      </c>
      <c r="J14" s="505">
        <v>396</v>
      </c>
      <c r="K14" s="504" t="s">
        <v>156</v>
      </c>
      <c r="L14" s="525">
        <v>392</v>
      </c>
      <c r="M14" s="525">
        <v>389</v>
      </c>
      <c r="N14" s="505">
        <v>386</v>
      </c>
      <c r="O14" s="504" t="s">
        <v>156</v>
      </c>
      <c r="P14" s="505">
        <v>386</v>
      </c>
      <c r="Q14" s="504" t="s">
        <v>156</v>
      </c>
      <c r="R14" s="505">
        <v>386</v>
      </c>
      <c r="S14" s="504" t="s">
        <v>156</v>
      </c>
      <c r="T14" s="505">
        <v>387</v>
      </c>
      <c r="U14" s="504" t="s">
        <v>156</v>
      </c>
      <c r="V14" s="505">
        <v>387</v>
      </c>
      <c r="W14" s="504" t="s">
        <v>156</v>
      </c>
      <c r="X14" s="525">
        <v>387</v>
      </c>
      <c r="Y14" s="505">
        <v>387</v>
      </c>
      <c r="Z14" s="499" t="s">
        <v>222</v>
      </c>
      <c r="AA14" s="525">
        <v>387</v>
      </c>
      <c r="AB14" s="525">
        <v>387</v>
      </c>
      <c r="AC14" s="525">
        <v>387</v>
      </c>
      <c r="AD14" s="525">
        <v>383</v>
      </c>
      <c r="AE14" s="525">
        <v>383</v>
      </c>
      <c r="AF14" s="525">
        <v>383</v>
      </c>
      <c r="AG14" s="525">
        <v>383</v>
      </c>
      <c r="AH14" s="525">
        <v>380</v>
      </c>
      <c r="AI14" s="500">
        <v>380</v>
      </c>
      <c r="AJ14" s="1099">
        <v>380</v>
      </c>
    </row>
    <row r="15" spans="1:36">
      <c r="A15" s="498"/>
      <c r="B15" s="504" t="s">
        <v>164</v>
      </c>
      <c r="C15" s="525">
        <v>914</v>
      </c>
      <c r="D15" s="525">
        <v>901</v>
      </c>
      <c r="E15" s="525">
        <v>884</v>
      </c>
      <c r="F15" s="525">
        <v>871</v>
      </c>
      <c r="G15" s="525">
        <v>852</v>
      </c>
      <c r="H15" s="525">
        <v>783</v>
      </c>
      <c r="I15" s="525">
        <v>771</v>
      </c>
      <c r="J15" s="505">
        <v>758</v>
      </c>
      <c r="K15" s="504" t="s">
        <v>164</v>
      </c>
      <c r="L15" s="525">
        <v>721</v>
      </c>
      <c r="M15" s="525">
        <v>705</v>
      </c>
      <c r="N15" s="505">
        <v>662</v>
      </c>
      <c r="O15" s="504" t="s">
        <v>164</v>
      </c>
      <c r="P15" s="505">
        <v>646</v>
      </c>
      <c r="Q15" s="504" t="s">
        <v>164</v>
      </c>
      <c r="R15" s="505">
        <v>633</v>
      </c>
      <c r="S15" s="504" t="s">
        <v>164</v>
      </c>
      <c r="T15" s="505">
        <v>623</v>
      </c>
      <c r="U15" s="504" t="s">
        <v>164</v>
      </c>
      <c r="V15" s="505">
        <v>612</v>
      </c>
      <c r="W15" s="504" t="s">
        <v>164</v>
      </c>
      <c r="X15" s="525">
        <v>598</v>
      </c>
      <c r="Y15" s="505">
        <v>582</v>
      </c>
      <c r="Z15" s="499" t="s">
        <v>223</v>
      </c>
      <c r="AA15" s="525">
        <v>567</v>
      </c>
      <c r="AB15" s="525">
        <v>557</v>
      </c>
      <c r="AC15" s="525">
        <v>546</v>
      </c>
      <c r="AD15" s="525">
        <v>534</v>
      </c>
      <c r="AE15" s="525">
        <v>525</v>
      </c>
      <c r="AF15" s="525">
        <v>523</v>
      </c>
      <c r="AG15" s="525">
        <v>539</v>
      </c>
      <c r="AH15" s="525">
        <v>532</v>
      </c>
      <c r="AI15" s="500">
        <v>530</v>
      </c>
      <c r="AJ15" s="1099">
        <v>527</v>
      </c>
    </row>
    <row r="16" spans="1:36">
      <c r="A16" s="501"/>
      <c r="B16" s="507" t="s">
        <v>166</v>
      </c>
      <c r="C16" s="526">
        <v>2521</v>
      </c>
      <c r="D16" s="526">
        <v>2529</v>
      </c>
      <c r="E16" s="526">
        <v>2531</v>
      </c>
      <c r="F16" s="526">
        <v>2534</v>
      </c>
      <c r="G16" s="526">
        <v>2524</v>
      </c>
      <c r="H16" s="526">
        <v>2469</v>
      </c>
      <c r="I16" s="526">
        <v>2470</v>
      </c>
      <c r="J16" s="509">
        <v>2479</v>
      </c>
      <c r="K16" s="507" t="s">
        <v>166</v>
      </c>
      <c r="L16" s="526">
        <v>2555</v>
      </c>
      <c r="M16" s="526">
        <v>2651</v>
      </c>
      <c r="N16" s="509">
        <v>2716</v>
      </c>
      <c r="O16" s="507" t="s">
        <v>166</v>
      </c>
      <c r="P16" s="509">
        <v>2800</v>
      </c>
      <c r="Q16" s="507" t="s">
        <v>166</v>
      </c>
      <c r="R16" s="509">
        <v>2901</v>
      </c>
      <c r="S16" s="507" t="s">
        <v>166</v>
      </c>
      <c r="T16" s="509">
        <v>2904</v>
      </c>
      <c r="U16" s="507" t="s">
        <v>166</v>
      </c>
      <c r="V16" s="509">
        <v>2903</v>
      </c>
      <c r="W16" s="507" t="s">
        <v>166</v>
      </c>
      <c r="X16" s="526">
        <v>2895</v>
      </c>
      <c r="Y16" s="509">
        <v>2880</v>
      </c>
      <c r="Z16" s="502" t="s">
        <v>166</v>
      </c>
      <c r="AA16" s="526">
        <v>2852</v>
      </c>
      <c r="AB16" s="526">
        <v>2837</v>
      </c>
      <c r="AC16" s="526">
        <v>2821</v>
      </c>
      <c r="AD16" s="526">
        <v>2804</v>
      </c>
      <c r="AE16" s="526">
        <v>2788</v>
      </c>
      <c r="AF16" s="526">
        <v>2780</v>
      </c>
      <c r="AG16" s="526">
        <v>2792</v>
      </c>
      <c r="AH16" s="526">
        <v>2789</v>
      </c>
      <c r="AI16" s="539">
        <v>2793</v>
      </c>
      <c r="AJ16" s="1223">
        <f>SUM(AJ11:AJ15)</f>
        <v>2794</v>
      </c>
    </row>
    <row r="17" spans="1:36">
      <c r="A17" s="498" t="s">
        <v>42</v>
      </c>
      <c r="B17" s="504"/>
      <c r="C17" s="525"/>
      <c r="D17" s="525"/>
      <c r="E17" s="525"/>
      <c r="F17" s="525"/>
      <c r="G17" s="525"/>
      <c r="H17" s="525"/>
      <c r="I17" s="525"/>
      <c r="J17" s="505"/>
      <c r="K17" s="504"/>
      <c r="L17" s="525"/>
      <c r="M17" s="525"/>
      <c r="N17" s="505"/>
      <c r="O17" s="504"/>
      <c r="P17" s="505"/>
      <c r="Q17" s="504" t="s">
        <v>224</v>
      </c>
      <c r="R17" s="505">
        <v>678</v>
      </c>
      <c r="S17" s="504" t="s">
        <v>224</v>
      </c>
      <c r="T17" s="505">
        <v>675</v>
      </c>
      <c r="U17" s="504" t="s">
        <v>224</v>
      </c>
      <c r="V17" s="505">
        <v>712</v>
      </c>
      <c r="W17" s="504" t="s">
        <v>224</v>
      </c>
      <c r="X17" s="525">
        <v>794</v>
      </c>
      <c r="Y17" s="505">
        <v>813</v>
      </c>
      <c r="Z17" s="499" t="s">
        <v>216</v>
      </c>
      <c r="AA17" s="525">
        <v>812</v>
      </c>
      <c r="AB17" s="525">
        <v>813</v>
      </c>
      <c r="AC17" s="525">
        <v>843</v>
      </c>
      <c r="AD17" s="525">
        <v>836</v>
      </c>
      <c r="AE17" s="525">
        <v>866</v>
      </c>
      <c r="AF17" s="525">
        <v>824</v>
      </c>
      <c r="AG17" s="525">
        <v>868</v>
      </c>
      <c r="AH17" s="525">
        <v>932</v>
      </c>
      <c r="AI17" s="537">
        <v>953</v>
      </c>
      <c r="AJ17" s="1106">
        <v>978</v>
      </c>
    </row>
    <row r="18" spans="1:36">
      <c r="A18" s="498"/>
      <c r="B18" s="504"/>
      <c r="C18" s="525"/>
      <c r="D18" s="525"/>
      <c r="E18" s="525"/>
      <c r="F18" s="525"/>
      <c r="G18" s="525"/>
      <c r="H18" s="525"/>
      <c r="I18" s="525"/>
      <c r="J18" s="505"/>
      <c r="K18" s="504"/>
      <c r="L18" s="525"/>
      <c r="M18" s="525"/>
      <c r="N18" s="505"/>
      <c r="O18" s="504"/>
      <c r="P18" s="505"/>
      <c r="Q18" s="504" t="s">
        <v>225</v>
      </c>
      <c r="R18" s="505">
        <v>27</v>
      </c>
      <c r="S18" s="504" t="s">
        <v>225</v>
      </c>
      <c r="T18" s="505">
        <v>33</v>
      </c>
      <c r="U18" s="504" t="s">
        <v>225</v>
      </c>
      <c r="V18" s="505">
        <v>36</v>
      </c>
      <c r="W18" s="504" t="s">
        <v>226</v>
      </c>
      <c r="X18" s="525">
        <v>134</v>
      </c>
      <c r="Y18" s="505">
        <v>145</v>
      </c>
      <c r="Z18" s="499" t="s">
        <v>227</v>
      </c>
      <c r="AA18" s="525">
        <v>160</v>
      </c>
      <c r="AB18" s="525">
        <v>159</v>
      </c>
      <c r="AC18" s="525">
        <v>159</v>
      </c>
      <c r="AD18" s="525">
        <v>162</v>
      </c>
      <c r="AE18" s="525">
        <v>162</v>
      </c>
      <c r="AF18" s="525">
        <v>172</v>
      </c>
      <c r="AG18" s="525">
        <v>195</v>
      </c>
      <c r="AH18" s="525">
        <v>197</v>
      </c>
      <c r="AI18" s="500">
        <v>194</v>
      </c>
      <c r="AJ18" s="1099">
        <v>214</v>
      </c>
    </row>
    <row r="19" spans="1:36">
      <c r="A19" s="498"/>
      <c r="B19" s="504"/>
      <c r="C19" s="525"/>
      <c r="D19" s="525"/>
      <c r="E19" s="525"/>
      <c r="F19" s="525"/>
      <c r="G19" s="525"/>
      <c r="H19" s="525"/>
      <c r="I19" s="525"/>
      <c r="J19" s="505"/>
      <c r="K19" s="504"/>
      <c r="L19" s="525"/>
      <c r="M19" s="525"/>
      <c r="N19" s="505"/>
      <c r="O19" s="504"/>
      <c r="P19" s="505"/>
      <c r="Q19" s="504" t="s">
        <v>228</v>
      </c>
      <c r="R19" s="505">
        <v>102</v>
      </c>
      <c r="S19" s="504" t="s">
        <v>228</v>
      </c>
      <c r="T19" s="505">
        <v>88</v>
      </c>
      <c r="U19" s="504" t="s">
        <v>228</v>
      </c>
      <c r="V19" s="505">
        <v>95</v>
      </c>
      <c r="W19" s="504" t="s">
        <v>222</v>
      </c>
      <c r="X19" s="525">
        <v>99</v>
      </c>
      <c r="Y19" s="505">
        <v>99</v>
      </c>
      <c r="Z19" s="499" t="s">
        <v>156</v>
      </c>
      <c r="AA19" s="525">
        <v>99</v>
      </c>
      <c r="AB19" s="525">
        <v>99</v>
      </c>
      <c r="AC19" s="525">
        <v>106</v>
      </c>
      <c r="AD19" s="525">
        <v>106</v>
      </c>
      <c r="AE19" s="525">
        <v>106</v>
      </c>
      <c r="AF19" s="525">
        <v>107</v>
      </c>
      <c r="AG19" s="525">
        <v>107</v>
      </c>
      <c r="AH19" s="525">
        <v>107</v>
      </c>
      <c r="AI19" s="500">
        <v>107</v>
      </c>
      <c r="AJ19" s="1099">
        <v>107</v>
      </c>
    </row>
    <row r="20" spans="1:36">
      <c r="A20" s="498"/>
      <c r="B20" s="504"/>
      <c r="C20" s="525"/>
      <c r="D20" s="525"/>
      <c r="E20" s="525"/>
      <c r="F20" s="525"/>
      <c r="G20" s="525"/>
      <c r="H20" s="525"/>
      <c r="I20" s="525"/>
      <c r="J20" s="505"/>
      <c r="K20" s="504"/>
      <c r="L20" s="525"/>
      <c r="M20" s="525"/>
      <c r="N20" s="505"/>
      <c r="O20" s="504"/>
      <c r="P20" s="505"/>
      <c r="Q20" s="504" t="s">
        <v>222</v>
      </c>
      <c r="R20" s="505">
        <v>88</v>
      </c>
      <c r="S20" s="504" t="s">
        <v>222</v>
      </c>
      <c r="T20" s="505">
        <v>99</v>
      </c>
      <c r="U20" s="504" t="s">
        <v>222</v>
      </c>
      <c r="V20" s="505">
        <v>99</v>
      </c>
      <c r="W20" s="504" t="s">
        <v>229</v>
      </c>
      <c r="X20" s="525">
        <v>549</v>
      </c>
      <c r="Y20" s="505">
        <v>522</v>
      </c>
      <c r="Z20" s="499" t="s">
        <v>229</v>
      </c>
      <c r="AA20" s="525">
        <v>497</v>
      </c>
      <c r="AB20" s="525">
        <v>497</v>
      </c>
      <c r="AC20" s="525">
        <v>492</v>
      </c>
      <c r="AD20" s="525">
        <v>488</v>
      </c>
      <c r="AE20" s="525">
        <v>493</v>
      </c>
      <c r="AF20" s="525">
        <v>558</v>
      </c>
      <c r="AG20" s="525">
        <v>571</v>
      </c>
      <c r="AH20" s="525">
        <v>583</v>
      </c>
      <c r="AI20" s="500">
        <v>649</v>
      </c>
      <c r="AJ20" s="1099">
        <v>597</v>
      </c>
    </row>
    <row r="21" spans="1:36">
      <c r="A21" s="498"/>
      <c r="B21" s="504"/>
      <c r="C21" s="525"/>
      <c r="D21" s="525"/>
      <c r="E21" s="525"/>
      <c r="F21" s="525"/>
      <c r="G21" s="525"/>
      <c r="H21" s="525"/>
      <c r="I21" s="525"/>
      <c r="J21" s="505"/>
      <c r="K21" s="504"/>
      <c r="L21" s="525"/>
      <c r="M21" s="525"/>
      <c r="N21" s="505"/>
      <c r="O21" s="504"/>
      <c r="P21" s="505"/>
      <c r="Q21" s="504" t="s">
        <v>229</v>
      </c>
      <c r="R21" s="505">
        <v>616</v>
      </c>
      <c r="S21" s="504" t="s">
        <v>229</v>
      </c>
      <c r="T21" s="505">
        <v>616</v>
      </c>
      <c r="U21" s="504" t="s">
        <v>229</v>
      </c>
      <c r="V21" s="505">
        <v>606</v>
      </c>
      <c r="W21" s="504"/>
      <c r="X21" s="525"/>
      <c r="Y21" s="505"/>
      <c r="Z21" s="499"/>
      <c r="AA21" s="525"/>
      <c r="AB21" s="525"/>
      <c r="AC21" s="525"/>
      <c r="AD21" s="525"/>
      <c r="AE21" s="525"/>
      <c r="AF21" s="525"/>
      <c r="AG21" s="525"/>
      <c r="AH21" s="525"/>
      <c r="AI21" s="500"/>
      <c r="AJ21" s="1099"/>
    </row>
    <row r="22" spans="1:36">
      <c r="A22" s="501"/>
      <c r="B22" s="507"/>
      <c r="C22" s="526"/>
      <c r="D22" s="526"/>
      <c r="E22" s="526"/>
      <c r="F22" s="526"/>
      <c r="G22" s="526"/>
      <c r="H22" s="526"/>
      <c r="I22" s="526"/>
      <c r="J22" s="509"/>
      <c r="K22" s="507"/>
      <c r="L22" s="526"/>
      <c r="M22" s="526"/>
      <c r="N22" s="509"/>
      <c r="O22" s="507"/>
      <c r="P22" s="509"/>
      <c r="Q22" s="507" t="s">
        <v>166</v>
      </c>
      <c r="R22" s="509">
        <v>1511</v>
      </c>
      <c r="S22" s="507" t="s">
        <v>166</v>
      </c>
      <c r="T22" s="509">
        <v>1511</v>
      </c>
      <c r="U22" s="507" t="s">
        <v>166</v>
      </c>
      <c r="V22" s="509">
        <v>1548</v>
      </c>
      <c r="W22" s="507" t="s">
        <v>166</v>
      </c>
      <c r="X22" s="526">
        <v>1576</v>
      </c>
      <c r="Y22" s="509">
        <v>1579</v>
      </c>
      <c r="Z22" s="502" t="s">
        <v>166</v>
      </c>
      <c r="AA22" s="526">
        <v>1568</v>
      </c>
      <c r="AB22" s="526">
        <v>1568</v>
      </c>
      <c r="AC22" s="526">
        <v>1600</v>
      </c>
      <c r="AD22" s="526">
        <v>1592</v>
      </c>
      <c r="AE22" s="526">
        <v>1627</v>
      </c>
      <c r="AF22" s="526">
        <v>1661</v>
      </c>
      <c r="AG22" s="526">
        <v>1741</v>
      </c>
      <c r="AH22" s="526">
        <v>1819</v>
      </c>
      <c r="AI22" s="539">
        <v>1903</v>
      </c>
      <c r="AJ22" s="1223">
        <f>SUM(AJ17:AJ21)</f>
        <v>1896</v>
      </c>
    </row>
    <row r="23" spans="1:36">
      <c r="A23" s="498" t="s">
        <v>43</v>
      </c>
      <c r="B23" s="504"/>
      <c r="C23" s="525"/>
      <c r="D23" s="525"/>
      <c r="E23" s="525"/>
      <c r="F23" s="525"/>
      <c r="G23" s="525"/>
      <c r="H23" s="525"/>
      <c r="I23" s="525"/>
      <c r="J23" s="505"/>
      <c r="K23" s="504"/>
      <c r="L23" s="525"/>
      <c r="M23" s="525"/>
      <c r="N23" s="505"/>
      <c r="O23" s="504"/>
      <c r="P23" s="505"/>
      <c r="Q23" s="504"/>
      <c r="R23" s="505"/>
      <c r="S23" s="504"/>
      <c r="T23" s="505"/>
      <c r="U23" s="504"/>
      <c r="V23" s="505"/>
      <c r="W23" s="504" t="s">
        <v>230</v>
      </c>
      <c r="X23" s="525">
        <v>88</v>
      </c>
      <c r="Y23" s="505">
        <v>93</v>
      </c>
      <c r="Z23" s="499" t="s">
        <v>230</v>
      </c>
      <c r="AA23" s="525">
        <v>94</v>
      </c>
      <c r="AB23" s="525">
        <v>91</v>
      </c>
      <c r="AC23" s="525">
        <v>91</v>
      </c>
      <c r="AD23" s="525">
        <v>7</v>
      </c>
      <c r="AE23" s="525">
        <v>7</v>
      </c>
      <c r="AF23" s="525">
        <v>8</v>
      </c>
      <c r="AG23" s="525">
        <v>8</v>
      </c>
      <c r="AH23" s="525">
        <v>10</v>
      </c>
      <c r="AI23" s="500"/>
      <c r="AJ23" s="1204"/>
    </row>
    <row r="24" spans="1:36">
      <c r="A24" s="498"/>
      <c r="B24" s="504"/>
      <c r="C24" s="525"/>
      <c r="D24" s="525"/>
      <c r="E24" s="525"/>
      <c r="F24" s="525"/>
      <c r="G24" s="525"/>
      <c r="H24" s="525"/>
      <c r="I24" s="525"/>
      <c r="J24" s="505"/>
      <c r="K24" s="504"/>
      <c r="L24" s="525"/>
      <c r="M24" s="525"/>
      <c r="N24" s="505"/>
      <c r="O24" s="504"/>
      <c r="P24" s="505"/>
      <c r="Q24" s="504"/>
      <c r="R24" s="505"/>
      <c r="S24" s="504"/>
      <c r="T24" s="505"/>
      <c r="U24" s="504"/>
      <c r="V24" s="505"/>
      <c r="W24" s="504" t="s">
        <v>231</v>
      </c>
      <c r="X24" s="525">
        <v>2112</v>
      </c>
      <c r="Y24" s="505">
        <v>2058</v>
      </c>
      <c r="Z24" s="499" t="s">
        <v>232</v>
      </c>
      <c r="AA24" s="525">
        <v>2010</v>
      </c>
      <c r="AB24" s="525">
        <v>1855</v>
      </c>
      <c r="AC24" s="525">
        <v>1812</v>
      </c>
      <c r="AD24" s="525">
        <v>10000</v>
      </c>
      <c r="AE24" s="525">
        <v>11421</v>
      </c>
      <c r="AF24" s="525" t="s">
        <v>233</v>
      </c>
      <c r="AG24" s="525"/>
      <c r="AH24" s="525" t="s">
        <v>234</v>
      </c>
      <c r="AI24" s="500"/>
      <c r="AJ24" s="1205"/>
    </row>
    <row r="25" spans="1:36">
      <c r="A25" s="498"/>
      <c r="B25" s="504"/>
      <c r="C25" s="525"/>
      <c r="D25" s="525"/>
      <c r="E25" s="525"/>
      <c r="F25" s="525"/>
      <c r="G25" s="525"/>
      <c r="H25" s="525"/>
      <c r="I25" s="525"/>
      <c r="J25" s="505"/>
      <c r="K25" s="504"/>
      <c r="L25" s="525"/>
      <c r="M25" s="525"/>
      <c r="N25" s="505"/>
      <c r="O25" s="504"/>
      <c r="P25" s="505"/>
      <c r="Q25" s="504"/>
      <c r="R25" s="505"/>
      <c r="S25" s="504"/>
      <c r="T25" s="505"/>
      <c r="U25" s="504"/>
      <c r="V25" s="505"/>
      <c r="W25" s="504" t="s">
        <v>235</v>
      </c>
      <c r="X25" s="525">
        <v>270</v>
      </c>
      <c r="Y25" s="505">
        <v>260</v>
      </c>
      <c r="Z25" s="499" t="s">
        <v>236</v>
      </c>
      <c r="AA25" s="525">
        <v>251</v>
      </c>
      <c r="AB25" s="525">
        <v>244</v>
      </c>
      <c r="AC25" s="525">
        <v>248</v>
      </c>
      <c r="AD25" s="525"/>
      <c r="AE25" s="525"/>
      <c r="AF25" s="525"/>
      <c r="AG25" s="525"/>
      <c r="AH25" s="525"/>
      <c r="AI25" s="500"/>
      <c r="AJ25" s="1205"/>
    </row>
    <row r="26" spans="1:36">
      <c r="A26" s="498"/>
      <c r="B26" s="504"/>
      <c r="C26" s="525"/>
      <c r="D26" s="525"/>
      <c r="E26" s="525"/>
      <c r="F26" s="525"/>
      <c r="G26" s="525"/>
      <c r="H26" s="525"/>
      <c r="I26" s="525"/>
      <c r="J26" s="505"/>
      <c r="K26" s="504"/>
      <c r="L26" s="525"/>
      <c r="M26" s="525"/>
      <c r="N26" s="505"/>
      <c r="O26" s="504"/>
      <c r="P26" s="505"/>
      <c r="Q26" s="504"/>
      <c r="R26" s="505"/>
      <c r="S26" s="504"/>
      <c r="T26" s="505"/>
      <c r="U26" s="504"/>
      <c r="V26" s="505"/>
      <c r="W26" s="504" t="s">
        <v>237</v>
      </c>
      <c r="X26" s="525">
        <v>787</v>
      </c>
      <c r="Y26" s="505">
        <v>822</v>
      </c>
      <c r="Z26" s="499" t="s">
        <v>238</v>
      </c>
      <c r="AA26" s="525">
        <v>280</v>
      </c>
      <c r="AB26" s="525">
        <v>279</v>
      </c>
      <c r="AC26" s="525">
        <v>272</v>
      </c>
      <c r="AD26" s="525"/>
      <c r="AE26" s="525"/>
      <c r="AF26" s="525"/>
      <c r="AG26" s="525"/>
      <c r="AH26" s="525"/>
      <c r="AI26" s="500"/>
      <c r="AJ26" s="1205"/>
    </row>
    <row r="27" spans="1:36">
      <c r="A27" s="498"/>
      <c r="B27" s="504"/>
      <c r="C27" s="525"/>
      <c r="D27" s="525"/>
      <c r="E27" s="525"/>
      <c r="F27" s="525"/>
      <c r="G27" s="525"/>
      <c r="H27" s="525"/>
      <c r="I27" s="525"/>
      <c r="J27" s="505"/>
      <c r="K27" s="504"/>
      <c r="L27" s="525"/>
      <c r="M27" s="525"/>
      <c r="N27" s="505"/>
      <c r="O27" s="504"/>
      <c r="P27" s="505"/>
      <c r="Q27" s="504"/>
      <c r="R27" s="505"/>
      <c r="S27" s="504"/>
      <c r="T27" s="505"/>
      <c r="U27" s="504"/>
      <c r="V27" s="505"/>
      <c r="W27" s="504" t="s">
        <v>239</v>
      </c>
      <c r="X27" s="525">
        <v>275</v>
      </c>
      <c r="Y27" s="505">
        <v>262</v>
      </c>
      <c r="Z27" s="499" t="s">
        <v>240</v>
      </c>
      <c r="AA27" s="525">
        <v>265</v>
      </c>
      <c r="AB27" s="525">
        <v>334</v>
      </c>
      <c r="AC27" s="525">
        <v>344</v>
      </c>
      <c r="AD27" s="525"/>
      <c r="AE27" s="525"/>
      <c r="AF27" s="525"/>
      <c r="AG27" s="525"/>
      <c r="AH27" s="525"/>
      <c r="AI27" s="500"/>
      <c r="AJ27" s="1205"/>
    </row>
    <row r="28" spans="1:36">
      <c r="A28" s="498"/>
      <c r="B28" s="504"/>
      <c r="C28" s="525"/>
      <c r="D28" s="525"/>
      <c r="E28" s="525"/>
      <c r="F28" s="525"/>
      <c r="G28" s="525"/>
      <c r="H28" s="525"/>
      <c r="I28" s="525"/>
      <c r="J28" s="505"/>
      <c r="K28" s="504"/>
      <c r="L28" s="525"/>
      <c r="M28" s="525"/>
      <c r="N28" s="505"/>
      <c r="O28" s="504"/>
      <c r="P28" s="505"/>
      <c r="Q28" s="504"/>
      <c r="R28" s="505"/>
      <c r="S28" s="504"/>
      <c r="T28" s="505"/>
      <c r="U28" s="504"/>
      <c r="V28" s="505"/>
      <c r="W28" s="504" t="s">
        <v>241</v>
      </c>
      <c r="X28" s="525">
        <v>4752</v>
      </c>
      <c r="Y28" s="505">
        <v>6260</v>
      </c>
      <c r="Z28" s="499" t="s">
        <v>242</v>
      </c>
      <c r="AA28" s="525">
        <v>252</v>
      </c>
      <c r="AB28" s="525">
        <v>252</v>
      </c>
      <c r="AC28" s="525">
        <v>261</v>
      </c>
      <c r="AD28" s="525"/>
      <c r="AE28" s="525"/>
      <c r="AF28" s="525"/>
      <c r="AG28" s="525"/>
      <c r="AH28" s="525"/>
      <c r="AI28" s="500"/>
      <c r="AJ28" s="1205"/>
    </row>
    <row r="29" spans="1:36">
      <c r="A29" s="498"/>
      <c r="B29" s="504"/>
      <c r="C29" s="525"/>
      <c r="D29" s="525"/>
      <c r="E29" s="525"/>
      <c r="F29" s="525"/>
      <c r="G29" s="525"/>
      <c r="H29" s="525"/>
      <c r="I29" s="525"/>
      <c r="J29" s="505"/>
      <c r="K29" s="504"/>
      <c r="L29" s="525"/>
      <c r="M29" s="525"/>
      <c r="N29" s="505"/>
      <c r="O29" s="504"/>
      <c r="P29" s="505"/>
      <c r="Q29" s="504"/>
      <c r="R29" s="505"/>
      <c r="S29" s="504"/>
      <c r="T29" s="505"/>
      <c r="U29" s="504"/>
      <c r="V29" s="505"/>
      <c r="W29" s="504"/>
      <c r="X29" s="525"/>
      <c r="Y29" s="505"/>
      <c r="Z29" s="499" t="s">
        <v>243</v>
      </c>
      <c r="AA29" s="525">
        <v>232</v>
      </c>
      <c r="AB29" s="525">
        <v>278</v>
      </c>
      <c r="AC29" s="525">
        <v>292</v>
      </c>
      <c r="AD29" s="525"/>
      <c r="AE29" s="525"/>
      <c r="AF29" s="525"/>
      <c r="AG29" s="525"/>
      <c r="AH29" s="525"/>
      <c r="AI29" s="500"/>
      <c r="AJ29" s="1205"/>
    </row>
    <row r="30" spans="1:36">
      <c r="A30" s="498"/>
      <c r="B30" s="504"/>
      <c r="C30" s="525"/>
      <c r="D30" s="525"/>
      <c r="E30" s="525"/>
      <c r="F30" s="525"/>
      <c r="G30" s="525"/>
      <c r="H30" s="525"/>
      <c r="I30" s="525"/>
      <c r="J30" s="505"/>
      <c r="K30" s="504"/>
      <c r="L30" s="525"/>
      <c r="M30" s="525"/>
      <c r="N30" s="505"/>
      <c r="O30" s="504"/>
      <c r="P30" s="505"/>
      <c r="Q30" s="504"/>
      <c r="R30" s="505"/>
      <c r="S30" s="504"/>
      <c r="T30" s="505"/>
      <c r="U30" s="504"/>
      <c r="V30" s="505"/>
      <c r="W30" s="504"/>
      <c r="X30" s="525"/>
      <c r="Y30" s="505"/>
      <c r="Z30" s="499" t="s">
        <v>244</v>
      </c>
      <c r="AA30" s="525">
        <v>7922</v>
      </c>
      <c r="AB30" s="525">
        <v>9579</v>
      </c>
      <c r="AC30" s="525">
        <v>10639</v>
      </c>
      <c r="AD30" s="525"/>
      <c r="AE30" s="525"/>
      <c r="AF30" s="525"/>
      <c r="AG30" s="525"/>
      <c r="AH30" s="525"/>
      <c r="AI30" s="500"/>
      <c r="AJ30" s="1205"/>
    </row>
    <row r="31" spans="1:36">
      <c r="A31" s="501"/>
      <c r="B31" s="507"/>
      <c r="C31" s="526"/>
      <c r="D31" s="526"/>
      <c r="E31" s="526"/>
      <c r="F31" s="526"/>
      <c r="G31" s="526"/>
      <c r="H31" s="526"/>
      <c r="I31" s="526"/>
      <c r="J31" s="509"/>
      <c r="K31" s="507"/>
      <c r="L31" s="526"/>
      <c r="M31" s="526"/>
      <c r="N31" s="509"/>
      <c r="O31" s="507"/>
      <c r="P31" s="509"/>
      <c r="Q31" s="507"/>
      <c r="R31" s="509"/>
      <c r="S31" s="507"/>
      <c r="T31" s="509"/>
      <c r="U31" s="507"/>
      <c r="V31" s="509"/>
      <c r="W31" s="507" t="s">
        <v>166</v>
      </c>
      <c r="X31" s="526">
        <v>8284</v>
      </c>
      <c r="Y31" s="509">
        <v>9755</v>
      </c>
      <c r="Z31" s="502" t="s">
        <v>166</v>
      </c>
      <c r="AA31" s="526">
        <v>11306</v>
      </c>
      <c r="AB31" s="526">
        <v>12912</v>
      </c>
      <c r="AC31" s="526">
        <v>13959</v>
      </c>
      <c r="AD31" s="526">
        <v>14770</v>
      </c>
      <c r="AE31" s="526"/>
      <c r="AF31" s="526"/>
      <c r="AG31" s="526"/>
      <c r="AH31" s="526"/>
      <c r="AI31" s="510"/>
      <c r="AJ31" s="1206"/>
    </row>
    <row r="32" spans="1:36">
      <c r="A32" s="498" t="s">
        <v>44</v>
      </c>
      <c r="B32" s="504" t="s">
        <v>190</v>
      </c>
      <c r="C32" s="525">
        <v>2434</v>
      </c>
      <c r="D32" s="525">
        <v>2158</v>
      </c>
      <c r="E32" s="525">
        <v>2594</v>
      </c>
      <c r="F32" s="525">
        <v>2940</v>
      </c>
      <c r="G32" s="525">
        <v>3143</v>
      </c>
      <c r="H32" s="525">
        <v>3165</v>
      </c>
      <c r="I32" s="525">
        <v>3489</v>
      </c>
      <c r="J32" s="505">
        <v>3535</v>
      </c>
      <c r="K32" s="504" t="s">
        <v>245</v>
      </c>
      <c r="L32" s="525">
        <v>3681</v>
      </c>
      <c r="M32" s="525">
        <v>4177</v>
      </c>
      <c r="N32" s="505">
        <v>4779</v>
      </c>
      <c r="O32" s="504" t="s">
        <v>245</v>
      </c>
      <c r="P32" s="505">
        <v>5376</v>
      </c>
      <c r="Q32" s="504" t="s">
        <v>245</v>
      </c>
      <c r="R32" s="505">
        <v>5955</v>
      </c>
      <c r="S32" s="504" t="s">
        <v>245</v>
      </c>
      <c r="T32" s="505">
        <v>6143</v>
      </c>
      <c r="U32" s="504" t="s">
        <v>245</v>
      </c>
      <c r="V32" s="505">
        <v>6128</v>
      </c>
      <c r="W32" s="504" t="s">
        <v>245</v>
      </c>
      <c r="X32" s="525">
        <v>6690</v>
      </c>
      <c r="Y32" s="505">
        <v>7831</v>
      </c>
      <c r="Z32" s="499" t="s">
        <v>245</v>
      </c>
      <c r="AA32" s="525">
        <v>7928</v>
      </c>
      <c r="AB32" s="525">
        <v>9145</v>
      </c>
      <c r="AC32" s="525">
        <v>8977</v>
      </c>
      <c r="AD32" s="525">
        <v>8160</v>
      </c>
      <c r="AE32" s="525">
        <v>7961</v>
      </c>
      <c r="AF32" s="525">
        <v>8007</v>
      </c>
      <c r="AG32" s="525">
        <v>8125</v>
      </c>
      <c r="AH32" s="525">
        <v>8230</v>
      </c>
      <c r="AI32" s="537">
        <v>7840</v>
      </c>
      <c r="AJ32" s="1204">
        <v>8214</v>
      </c>
    </row>
    <row r="33" spans="1:36">
      <c r="A33" s="498"/>
      <c r="B33" s="504" t="s">
        <v>156</v>
      </c>
      <c r="C33" s="525">
        <v>84</v>
      </c>
      <c r="D33" s="525">
        <v>81</v>
      </c>
      <c r="E33" s="525">
        <v>86</v>
      </c>
      <c r="F33" s="525">
        <v>102</v>
      </c>
      <c r="G33" s="525">
        <v>117</v>
      </c>
      <c r="H33" s="525">
        <v>114</v>
      </c>
      <c r="I33" s="525">
        <v>110</v>
      </c>
      <c r="J33" s="505">
        <v>109</v>
      </c>
      <c r="K33" s="504" t="s">
        <v>246</v>
      </c>
      <c r="L33" s="525">
        <v>72</v>
      </c>
      <c r="M33" s="525">
        <v>81</v>
      </c>
      <c r="N33" s="505">
        <v>104</v>
      </c>
      <c r="O33" s="504" t="s">
        <v>246</v>
      </c>
      <c r="P33" s="505">
        <v>101</v>
      </c>
      <c r="Q33" s="504" t="s">
        <v>246</v>
      </c>
      <c r="R33" s="505">
        <v>100</v>
      </c>
      <c r="S33" s="504" t="s">
        <v>246</v>
      </c>
      <c r="T33" s="505">
        <v>99</v>
      </c>
      <c r="U33" s="504" t="s">
        <v>246</v>
      </c>
      <c r="V33" s="505">
        <v>97</v>
      </c>
      <c r="W33" s="504" t="s">
        <v>246</v>
      </c>
      <c r="X33" s="525">
        <v>95</v>
      </c>
      <c r="Y33" s="505">
        <v>104</v>
      </c>
      <c r="Z33" s="499" t="s">
        <v>246</v>
      </c>
      <c r="AA33" s="525">
        <v>123</v>
      </c>
      <c r="AB33" s="525">
        <v>157</v>
      </c>
      <c r="AC33" s="525">
        <v>184</v>
      </c>
      <c r="AD33" s="525">
        <v>191</v>
      </c>
      <c r="AE33" s="525">
        <v>186</v>
      </c>
      <c r="AF33" s="525">
        <v>178</v>
      </c>
      <c r="AG33" s="525">
        <v>171</v>
      </c>
      <c r="AH33" s="525">
        <v>204</v>
      </c>
      <c r="AI33" s="500">
        <v>233</v>
      </c>
      <c r="AJ33" s="1205">
        <v>295</v>
      </c>
    </row>
    <row r="34" spans="1:36">
      <c r="A34" s="498"/>
      <c r="B34" s="504" t="s">
        <v>164</v>
      </c>
      <c r="C34" s="525">
        <v>2714</v>
      </c>
      <c r="D34" s="525">
        <v>2975</v>
      </c>
      <c r="E34" s="525">
        <v>3090</v>
      </c>
      <c r="F34" s="525">
        <v>3221</v>
      </c>
      <c r="G34" s="525">
        <v>3134</v>
      </c>
      <c r="H34" s="525">
        <v>3280</v>
      </c>
      <c r="I34" s="525">
        <v>3122</v>
      </c>
      <c r="J34" s="505">
        <v>3079</v>
      </c>
      <c r="K34" s="504" t="s">
        <v>247</v>
      </c>
      <c r="L34" s="525">
        <v>1448</v>
      </c>
      <c r="M34" s="525">
        <v>1441</v>
      </c>
      <c r="N34" s="505">
        <v>2400</v>
      </c>
      <c r="O34" s="504" t="s">
        <v>248</v>
      </c>
      <c r="P34" s="505">
        <v>404</v>
      </c>
      <c r="Q34" s="504" t="s">
        <v>248</v>
      </c>
      <c r="R34" s="505">
        <v>398</v>
      </c>
      <c r="S34" s="504" t="s">
        <v>248</v>
      </c>
      <c r="T34" s="505">
        <v>388</v>
      </c>
      <c r="U34" s="504" t="s">
        <v>248</v>
      </c>
      <c r="V34" s="505">
        <v>378</v>
      </c>
      <c r="W34" s="504" t="s">
        <v>248</v>
      </c>
      <c r="X34" s="525">
        <v>378</v>
      </c>
      <c r="Y34" s="505">
        <v>386</v>
      </c>
      <c r="Z34" s="499" t="s">
        <v>248</v>
      </c>
      <c r="AA34" s="525">
        <v>409</v>
      </c>
      <c r="AB34" s="525">
        <v>429</v>
      </c>
      <c r="AC34" s="525">
        <v>456</v>
      </c>
      <c r="AD34" s="525">
        <v>570</v>
      </c>
      <c r="AE34" s="525">
        <v>549</v>
      </c>
      <c r="AF34" s="525">
        <v>579</v>
      </c>
      <c r="AG34" s="525">
        <v>627</v>
      </c>
      <c r="AH34" s="525">
        <v>622</v>
      </c>
      <c r="AI34" s="500">
        <v>662</v>
      </c>
      <c r="AJ34" s="1205">
        <v>718</v>
      </c>
    </row>
    <row r="35" spans="1:36">
      <c r="A35" s="498"/>
      <c r="B35" s="504"/>
      <c r="C35" s="525"/>
      <c r="D35" s="525"/>
      <c r="E35" s="525"/>
      <c r="F35" s="525"/>
      <c r="G35" s="525"/>
      <c r="H35" s="525"/>
      <c r="I35" s="525"/>
      <c r="J35" s="505"/>
      <c r="K35" s="504" t="s">
        <v>249</v>
      </c>
      <c r="L35" s="525">
        <v>1426</v>
      </c>
      <c r="M35" s="525">
        <v>1664</v>
      </c>
      <c r="N35" s="505">
        <v>906</v>
      </c>
      <c r="O35" s="504" t="s">
        <v>249</v>
      </c>
      <c r="P35" s="505">
        <v>3032</v>
      </c>
      <c r="Q35" s="504" t="s">
        <v>249</v>
      </c>
      <c r="R35" s="505">
        <v>3065</v>
      </c>
      <c r="S35" s="504" t="s">
        <v>249</v>
      </c>
      <c r="T35" s="505">
        <v>3086</v>
      </c>
      <c r="U35" s="504" t="s">
        <v>249</v>
      </c>
      <c r="V35" s="505">
        <v>2904</v>
      </c>
      <c r="W35" s="504" t="s">
        <v>249</v>
      </c>
      <c r="X35" s="525">
        <v>3047</v>
      </c>
      <c r="Y35" s="505">
        <v>3210</v>
      </c>
      <c r="Z35" s="499" t="s">
        <v>250</v>
      </c>
      <c r="AA35" s="525">
        <v>3313</v>
      </c>
      <c r="AB35" s="525">
        <v>2719</v>
      </c>
      <c r="AC35" s="525">
        <v>3050</v>
      </c>
      <c r="AD35" s="525">
        <v>3804</v>
      </c>
      <c r="AE35" s="525">
        <v>3892</v>
      </c>
      <c r="AF35" s="525">
        <v>3815</v>
      </c>
      <c r="AG35" s="525">
        <v>3639</v>
      </c>
      <c r="AH35" s="525">
        <v>3872</v>
      </c>
      <c r="AI35" s="500">
        <v>4228</v>
      </c>
      <c r="AJ35" s="1205">
        <v>3876</v>
      </c>
    </row>
    <row r="36" spans="1:36">
      <c r="A36" s="501"/>
      <c r="B36" s="507" t="s">
        <v>166</v>
      </c>
      <c r="C36" s="526">
        <v>5232</v>
      </c>
      <c r="D36" s="526">
        <v>5214</v>
      </c>
      <c r="E36" s="526">
        <v>5770</v>
      </c>
      <c r="F36" s="526">
        <v>6263</v>
      </c>
      <c r="G36" s="526">
        <v>6394</v>
      </c>
      <c r="H36" s="526">
        <v>6559</v>
      </c>
      <c r="I36" s="526">
        <v>6721</v>
      </c>
      <c r="J36" s="509">
        <v>6723</v>
      </c>
      <c r="K36" s="507" t="s">
        <v>166</v>
      </c>
      <c r="L36" s="526">
        <v>6627</v>
      </c>
      <c r="M36" s="526">
        <v>7363</v>
      </c>
      <c r="N36" s="509">
        <v>8189</v>
      </c>
      <c r="O36" s="507" t="s">
        <v>166</v>
      </c>
      <c r="P36" s="509">
        <v>8913</v>
      </c>
      <c r="Q36" s="507" t="s">
        <v>166</v>
      </c>
      <c r="R36" s="509">
        <v>9518</v>
      </c>
      <c r="S36" s="507" t="s">
        <v>166</v>
      </c>
      <c r="T36" s="509">
        <v>9716</v>
      </c>
      <c r="U36" s="507" t="s">
        <v>166</v>
      </c>
      <c r="V36" s="509">
        <v>9507</v>
      </c>
      <c r="W36" s="507" t="s">
        <v>166</v>
      </c>
      <c r="X36" s="526">
        <v>10210</v>
      </c>
      <c r="Y36" s="509">
        <v>11531</v>
      </c>
      <c r="Z36" s="502" t="s">
        <v>166</v>
      </c>
      <c r="AA36" s="526">
        <v>11773</v>
      </c>
      <c r="AB36" s="526">
        <v>12450</v>
      </c>
      <c r="AC36" s="526">
        <v>12667</v>
      </c>
      <c r="AD36" s="526">
        <v>12725</v>
      </c>
      <c r="AE36" s="526">
        <v>12588</v>
      </c>
      <c r="AF36" s="526">
        <v>12579</v>
      </c>
      <c r="AG36" s="526">
        <v>12562</v>
      </c>
      <c r="AH36" s="526">
        <v>12928</v>
      </c>
      <c r="AI36" s="539">
        <v>12963</v>
      </c>
      <c r="AJ36" s="1223">
        <f>SUM(AJ32:AJ35)</f>
        <v>13103</v>
      </c>
    </row>
    <row r="37" spans="1:36">
      <c r="AJ37" s="1086"/>
    </row>
  </sheetData>
  <hyperlinks>
    <hyperlink ref="AJ1" location="Content!A1" display="ToC" xr:uid="{CA90D332-9964-4079-B4BC-750FF4288277}"/>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0158-CA16-4CDA-9853-943DE37CCD67}">
  <dimension ref="A1:AJ68"/>
  <sheetViews>
    <sheetView zoomScale="80" zoomScaleNormal="80" workbookViewId="0">
      <pane xSplit="1" ySplit="6" topLeftCell="B7" activePane="bottomRight" state="frozenSplit"/>
      <selection pane="topRight" activeCell="AI1" sqref="AI1"/>
      <selection pane="bottomLeft" activeCell="A6" sqref="A6"/>
      <selection pane="bottomRight" activeCell="AJ63" sqref="AJ63"/>
    </sheetView>
  </sheetViews>
  <sheetFormatPr defaultRowHeight="15"/>
  <cols>
    <col min="1" max="1" width="38.140625" customWidth="1"/>
    <col min="2" max="2" width="29.42578125" bestFit="1" customWidth="1"/>
    <col min="3" max="3" width="16.7109375" bestFit="1" customWidth="1"/>
    <col min="11" max="11" width="29.42578125" bestFit="1" customWidth="1"/>
    <col min="12" max="12" width="23.5703125" bestFit="1" customWidth="1"/>
    <col min="17" max="17" width="34.28515625" bestFit="1" customWidth="1"/>
    <col min="18" max="18" width="41.28515625" bestFit="1" customWidth="1"/>
    <col min="22" max="22" width="34.28515625" bestFit="1" customWidth="1"/>
    <col min="23" max="23" width="41.28515625" bestFit="1" customWidth="1"/>
    <col min="24" max="35" width="9.7109375" customWidth="1"/>
    <col min="36" max="36" width="10.7109375" customWidth="1"/>
  </cols>
  <sheetData>
    <row r="1" spans="1:36" ht="21">
      <c r="A1" s="496" t="s">
        <v>32</v>
      </c>
      <c r="AJ1" s="888" t="s">
        <v>458</v>
      </c>
    </row>
    <row r="2" spans="1:36" ht="18.75">
      <c r="A2" s="495" t="s">
        <v>128</v>
      </c>
    </row>
    <row r="3" spans="1:36" ht="18.75">
      <c r="A3" s="495" t="s">
        <v>29</v>
      </c>
      <c r="AJ3" s="1086"/>
    </row>
    <row r="4" spans="1:36" ht="18.75">
      <c r="A4" s="495" t="s">
        <v>436</v>
      </c>
      <c r="AJ4" s="1086"/>
    </row>
    <row r="5" spans="1:36">
      <c r="AJ5" s="1086"/>
    </row>
    <row r="6" spans="1:36">
      <c r="A6" s="515" t="s">
        <v>34</v>
      </c>
      <c r="B6" s="535"/>
      <c r="C6" s="524"/>
      <c r="D6" s="524">
        <v>1996</v>
      </c>
      <c r="E6" s="524">
        <v>1997</v>
      </c>
      <c r="F6" s="524">
        <v>1998</v>
      </c>
      <c r="G6" s="524">
        <v>1999</v>
      </c>
      <c r="H6" s="524">
        <v>2000</v>
      </c>
      <c r="I6" s="524">
        <v>2001</v>
      </c>
      <c r="J6" s="527">
        <v>2002</v>
      </c>
      <c r="K6" s="535"/>
      <c r="L6" s="524"/>
      <c r="M6" s="524">
        <v>2003</v>
      </c>
      <c r="N6" s="524">
        <v>2004</v>
      </c>
      <c r="O6" s="524">
        <v>2005</v>
      </c>
      <c r="P6" s="527">
        <v>2006</v>
      </c>
      <c r="Q6" s="535"/>
      <c r="R6" s="524"/>
      <c r="S6" s="524">
        <v>2007</v>
      </c>
      <c r="T6" s="524">
        <v>2008</v>
      </c>
      <c r="U6" s="527">
        <v>2009</v>
      </c>
      <c r="V6" s="516"/>
      <c r="W6" s="524"/>
      <c r="X6" s="524">
        <v>2010</v>
      </c>
      <c r="Y6" s="524">
        <v>2011</v>
      </c>
      <c r="Z6" s="524">
        <v>2012</v>
      </c>
      <c r="AA6" s="524">
        <v>2013</v>
      </c>
      <c r="AB6" s="524">
        <v>2014</v>
      </c>
      <c r="AC6" s="524">
        <v>2015</v>
      </c>
      <c r="AD6" s="524">
        <v>2016</v>
      </c>
      <c r="AE6" s="524">
        <v>2017</v>
      </c>
      <c r="AF6" s="524">
        <v>2018</v>
      </c>
      <c r="AG6" s="524">
        <v>2019</v>
      </c>
      <c r="AH6" s="517">
        <v>2020</v>
      </c>
      <c r="AI6" s="517">
        <v>2021</v>
      </c>
      <c r="AJ6" s="1187">
        <v>2022</v>
      </c>
    </row>
    <row r="7" spans="1:36">
      <c r="A7" s="498" t="s">
        <v>36</v>
      </c>
      <c r="B7" s="504" t="s">
        <v>251</v>
      </c>
      <c r="C7" s="525" t="s">
        <v>252</v>
      </c>
      <c r="D7" s="525">
        <v>40125</v>
      </c>
      <c r="E7" s="525">
        <v>42121</v>
      </c>
      <c r="F7" s="525">
        <v>48875</v>
      </c>
      <c r="G7" s="525">
        <v>52577</v>
      </c>
      <c r="H7" s="525">
        <v>53807</v>
      </c>
      <c r="I7" s="525">
        <v>51220</v>
      </c>
      <c r="J7" s="505">
        <v>58213</v>
      </c>
      <c r="K7" s="504" t="s">
        <v>251</v>
      </c>
      <c r="L7" s="525" t="s">
        <v>252</v>
      </c>
      <c r="M7" s="525">
        <v>71449</v>
      </c>
      <c r="N7" s="525">
        <v>77984</v>
      </c>
      <c r="O7" s="525">
        <v>87255</v>
      </c>
      <c r="P7" s="505">
        <v>83748</v>
      </c>
      <c r="Q7" s="504" t="s">
        <v>251</v>
      </c>
      <c r="R7" s="525" t="s">
        <v>252</v>
      </c>
      <c r="S7" s="525">
        <v>84698</v>
      </c>
      <c r="T7" s="525">
        <v>87667</v>
      </c>
      <c r="U7" s="505">
        <v>99105</v>
      </c>
      <c r="V7" s="499" t="s">
        <v>251</v>
      </c>
      <c r="W7" s="525" t="s">
        <v>252</v>
      </c>
      <c r="X7" s="536">
        <v>100010</v>
      </c>
      <c r="Y7" s="536">
        <v>104638</v>
      </c>
      <c r="Z7" s="536">
        <v>103601</v>
      </c>
      <c r="AA7" s="536">
        <v>105432</v>
      </c>
      <c r="AB7" s="536">
        <v>111852</v>
      </c>
      <c r="AC7" s="536">
        <v>136460</v>
      </c>
      <c r="AD7" s="536">
        <v>133544</v>
      </c>
      <c r="AE7" s="536">
        <v>137348</v>
      </c>
      <c r="AF7" s="536">
        <v>122403</v>
      </c>
      <c r="AG7" s="536">
        <v>123722</v>
      </c>
      <c r="AH7" s="537">
        <v>122804</v>
      </c>
      <c r="AI7" s="537">
        <v>121471</v>
      </c>
      <c r="AJ7" s="1166">
        <v>132384</v>
      </c>
    </row>
    <row r="8" spans="1:36">
      <c r="A8" s="498"/>
      <c r="B8" s="504"/>
      <c r="C8" s="525" t="s">
        <v>253</v>
      </c>
      <c r="D8" s="525">
        <v>27082</v>
      </c>
      <c r="E8" s="525">
        <v>32176</v>
      </c>
      <c r="F8" s="525">
        <v>39390</v>
      </c>
      <c r="G8" s="525">
        <v>44974</v>
      </c>
      <c r="H8" s="525">
        <v>56242</v>
      </c>
      <c r="I8" s="525">
        <v>56307</v>
      </c>
      <c r="J8" s="505">
        <v>68421</v>
      </c>
      <c r="K8" s="504"/>
      <c r="L8" s="525" t="s">
        <v>253</v>
      </c>
      <c r="M8" s="525">
        <v>66363</v>
      </c>
      <c r="N8" s="525">
        <v>65898</v>
      </c>
      <c r="O8" s="525">
        <v>70034</v>
      </c>
      <c r="P8" s="505">
        <v>69841</v>
      </c>
      <c r="Q8" s="504"/>
      <c r="R8" s="525" t="s">
        <v>253</v>
      </c>
      <c r="S8" s="525">
        <v>73880</v>
      </c>
      <c r="T8" s="525">
        <v>82063</v>
      </c>
      <c r="U8" s="505">
        <v>81463</v>
      </c>
      <c r="V8" s="499"/>
      <c r="W8" s="525" t="s">
        <v>253</v>
      </c>
      <c r="X8" s="536">
        <v>73686</v>
      </c>
      <c r="Y8" s="536">
        <v>75274</v>
      </c>
      <c r="Z8" s="536">
        <v>76825</v>
      </c>
      <c r="AA8" s="536">
        <v>82220</v>
      </c>
      <c r="AB8" s="536">
        <v>84696</v>
      </c>
      <c r="AC8" s="536">
        <v>84910</v>
      </c>
      <c r="AD8" s="536">
        <v>111145</v>
      </c>
      <c r="AE8" s="536">
        <v>83752</v>
      </c>
      <c r="AF8" s="536">
        <v>84224</v>
      </c>
      <c r="AG8" s="536">
        <v>83960</v>
      </c>
      <c r="AH8" s="537">
        <v>85186</v>
      </c>
      <c r="AI8" s="537">
        <v>82666</v>
      </c>
      <c r="AJ8" s="1166">
        <v>86036</v>
      </c>
    </row>
    <row r="9" spans="1:36">
      <c r="A9" s="498"/>
      <c r="B9" s="504"/>
      <c r="C9" s="525" t="s">
        <v>164</v>
      </c>
      <c r="D9" s="525">
        <v>18086</v>
      </c>
      <c r="E9" s="525">
        <v>18510</v>
      </c>
      <c r="F9" s="525">
        <v>18644</v>
      </c>
      <c r="G9" s="525">
        <v>18255</v>
      </c>
      <c r="H9" s="525">
        <v>17974</v>
      </c>
      <c r="I9" s="525">
        <v>19909</v>
      </c>
      <c r="J9" s="505">
        <v>14980</v>
      </c>
      <c r="K9" s="504"/>
      <c r="L9" s="525" t="s">
        <v>164</v>
      </c>
      <c r="M9" s="525">
        <v>20819</v>
      </c>
      <c r="N9" s="525">
        <v>21964</v>
      </c>
      <c r="O9" s="525">
        <v>19454</v>
      </c>
      <c r="P9" s="505">
        <v>18444</v>
      </c>
      <c r="Q9" s="504"/>
      <c r="R9" s="525" t="s">
        <v>164</v>
      </c>
      <c r="S9" s="525">
        <v>18877</v>
      </c>
      <c r="T9" s="525">
        <v>17104</v>
      </c>
      <c r="U9" s="505">
        <v>22941</v>
      </c>
      <c r="V9" s="499"/>
      <c r="W9" s="525" t="s">
        <v>164</v>
      </c>
      <c r="X9" s="536">
        <v>27818</v>
      </c>
      <c r="Y9" s="536">
        <v>26227</v>
      </c>
      <c r="Z9" s="536">
        <v>23899</v>
      </c>
      <c r="AA9" s="536">
        <v>25624</v>
      </c>
      <c r="AB9" s="536">
        <v>26755</v>
      </c>
      <c r="AC9" s="536">
        <v>24367</v>
      </c>
      <c r="AD9" s="536">
        <v>27564</v>
      </c>
      <c r="AE9" s="536">
        <v>26403</v>
      </c>
      <c r="AF9" s="536">
        <v>26499</v>
      </c>
      <c r="AG9" s="536">
        <v>25380</v>
      </c>
      <c r="AH9" s="537">
        <v>27577</v>
      </c>
      <c r="AI9" s="537">
        <v>27945</v>
      </c>
      <c r="AJ9" s="1166">
        <v>29128</v>
      </c>
    </row>
    <row r="10" spans="1:36">
      <c r="A10" s="498"/>
      <c r="B10" s="504"/>
      <c r="C10" s="525" t="s">
        <v>166</v>
      </c>
      <c r="D10" s="525">
        <v>85293</v>
      </c>
      <c r="E10" s="525">
        <v>92807</v>
      </c>
      <c r="F10" s="525">
        <v>106909</v>
      </c>
      <c r="G10" s="525">
        <v>115806</v>
      </c>
      <c r="H10" s="525">
        <v>128023</v>
      </c>
      <c r="I10" s="525">
        <v>127436</v>
      </c>
      <c r="J10" s="505">
        <v>141614</v>
      </c>
      <c r="K10" s="504"/>
      <c r="L10" s="525" t="s">
        <v>166</v>
      </c>
      <c r="M10" s="525">
        <v>158631</v>
      </c>
      <c r="N10" s="525">
        <v>165846</v>
      </c>
      <c r="O10" s="525">
        <v>163144</v>
      </c>
      <c r="P10" s="505">
        <v>172033</v>
      </c>
      <c r="Q10" s="504"/>
      <c r="R10" s="525" t="s">
        <v>166</v>
      </c>
      <c r="S10" s="525">
        <v>177455</v>
      </c>
      <c r="T10" s="525">
        <v>186834</v>
      </c>
      <c r="U10" s="505">
        <v>203509</v>
      </c>
      <c r="V10" s="540"/>
      <c r="W10" s="541" t="s">
        <v>166</v>
      </c>
      <c r="X10" s="542">
        <v>201514</v>
      </c>
      <c r="Y10" s="542">
        <v>206139</v>
      </c>
      <c r="Z10" s="542">
        <v>204325</v>
      </c>
      <c r="AA10" s="542">
        <v>213276</v>
      </c>
      <c r="AB10" s="542">
        <v>223303</v>
      </c>
      <c r="AC10" s="542">
        <v>245737</v>
      </c>
      <c r="AD10" s="542">
        <v>272253</v>
      </c>
      <c r="AE10" s="542">
        <v>247503</v>
      </c>
      <c r="AF10" s="542">
        <v>233126</v>
      </c>
      <c r="AG10" s="542">
        <v>233062</v>
      </c>
      <c r="AH10" s="543">
        <v>235567</v>
      </c>
      <c r="AI10" s="543">
        <v>232082</v>
      </c>
      <c r="AJ10" s="1166">
        <f>SUM(AJ7:AJ9)</f>
        <v>247548</v>
      </c>
    </row>
    <row r="11" spans="1:36">
      <c r="A11" s="498"/>
      <c r="B11" s="504" t="s">
        <v>254</v>
      </c>
      <c r="C11" s="525" t="s">
        <v>252</v>
      </c>
      <c r="D11" s="525">
        <v>52862</v>
      </c>
      <c r="E11" s="525">
        <v>45982</v>
      </c>
      <c r="F11" s="525">
        <v>45935</v>
      </c>
      <c r="G11" s="525">
        <v>40903</v>
      </c>
      <c r="H11" s="525">
        <v>45881</v>
      </c>
      <c r="I11" s="525">
        <v>55284</v>
      </c>
      <c r="J11" s="505">
        <v>66086</v>
      </c>
      <c r="K11" s="504" t="s">
        <v>254</v>
      </c>
      <c r="L11" s="525" t="s">
        <v>252</v>
      </c>
      <c r="M11" s="525">
        <v>73776</v>
      </c>
      <c r="N11" s="525">
        <v>76328</v>
      </c>
      <c r="O11" s="525">
        <v>84719</v>
      </c>
      <c r="P11" s="505">
        <v>96422</v>
      </c>
      <c r="Q11" s="504" t="s">
        <v>254</v>
      </c>
      <c r="R11" s="525" t="s">
        <v>252</v>
      </c>
      <c r="S11" s="525">
        <v>90310</v>
      </c>
      <c r="T11" s="525">
        <v>99053</v>
      </c>
      <c r="U11" s="505">
        <v>102178</v>
      </c>
      <c r="V11" s="499" t="s">
        <v>254</v>
      </c>
      <c r="W11" s="525" t="s">
        <v>252</v>
      </c>
      <c r="X11" s="536">
        <v>114991</v>
      </c>
      <c r="Y11" s="536">
        <v>110331</v>
      </c>
      <c r="Z11" s="536">
        <v>111860</v>
      </c>
      <c r="AA11" s="536">
        <v>116820</v>
      </c>
      <c r="AB11" s="536">
        <v>115595</v>
      </c>
      <c r="AC11" s="536">
        <v>121242</v>
      </c>
      <c r="AD11" s="536">
        <v>137939</v>
      </c>
      <c r="AE11" s="536">
        <v>153858</v>
      </c>
      <c r="AF11" s="536">
        <v>185364</v>
      </c>
      <c r="AG11" s="536">
        <v>177872</v>
      </c>
      <c r="AH11" s="537">
        <v>158955</v>
      </c>
      <c r="AI11" s="537">
        <v>121537</v>
      </c>
      <c r="AJ11" s="1166">
        <v>106227</v>
      </c>
    </row>
    <row r="12" spans="1:36">
      <c r="A12" s="498"/>
      <c r="B12" s="504"/>
      <c r="C12" s="525" t="s">
        <v>253</v>
      </c>
      <c r="D12" s="525">
        <v>15680</v>
      </c>
      <c r="E12" s="525">
        <v>19785</v>
      </c>
      <c r="F12" s="525">
        <v>25039</v>
      </c>
      <c r="G12" s="525">
        <v>28996</v>
      </c>
      <c r="H12" s="525">
        <v>35519</v>
      </c>
      <c r="I12" s="525">
        <v>41020</v>
      </c>
      <c r="J12" s="505">
        <v>49438</v>
      </c>
      <c r="K12" s="504"/>
      <c r="L12" s="525" t="s">
        <v>253</v>
      </c>
      <c r="M12" s="525">
        <v>35591</v>
      </c>
      <c r="N12" s="525">
        <v>27805</v>
      </c>
      <c r="O12" s="525">
        <v>18023</v>
      </c>
      <c r="P12" s="505">
        <v>14574</v>
      </c>
      <c r="Q12" s="504"/>
      <c r="R12" s="525" t="s">
        <v>253</v>
      </c>
      <c r="S12" s="525">
        <v>11513</v>
      </c>
      <c r="T12" s="525">
        <v>10430</v>
      </c>
      <c r="U12" s="505">
        <v>9601</v>
      </c>
      <c r="V12" s="499"/>
      <c r="W12" s="525" t="s">
        <v>253</v>
      </c>
      <c r="X12" s="536">
        <v>7128</v>
      </c>
      <c r="Y12" s="536">
        <v>7529</v>
      </c>
      <c r="Z12" s="536">
        <v>7995</v>
      </c>
      <c r="AA12" s="536">
        <v>7863</v>
      </c>
      <c r="AB12" s="536">
        <v>7987</v>
      </c>
      <c r="AC12" s="536">
        <v>9258</v>
      </c>
      <c r="AD12" s="536">
        <v>9180</v>
      </c>
      <c r="AE12" s="536">
        <v>8836</v>
      </c>
      <c r="AF12" s="536">
        <v>7867</v>
      </c>
      <c r="AG12" s="536">
        <v>6339</v>
      </c>
      <c r="AH12" s="537">
        <v>5619</v>
      </c>
      <c r="AI12" s="537">
        <v>5186</v>
      </c>
      <c r="AJ12" s="1166">
        <v>5359</v>
      </c>
    </row>
    <row r="13" spans="1:36">
      <c r="A13" s="498"/>
      <c r="B13" s="504"/>
      <c r="C13" s="525" t="s">
        <v>152</v>
      </c>
      <c r="D13" s="525">
        <v>2331</v>
      </c>
      <c r="E13" s="525">
        <v>2198</v>
      </c>
      <c r="F13" s="525">
        <v>2469</v>
      </c>
      <c r="G13" s="525">
        <v>2318</v>
      </c>
      <c r="H13" s="525">
        <v>2351</v>
      </c>
      <c r="I13" s="525">
        <v>2091</v>
      </c>
      <c r="J13" s="505">
        <v>1934</v>
      </c>
      <c r="K13" s="504"/>
      <c r="L13" s="525" t="s">
        <v>152</v>
      </c>
      <c r="M13" s="525">
        <v>1872</v>
      </c>
      <c r="N13" s="525">
        <v>1979</v>
      </c>
      <c r="O13" s="525">
        <v>1862</v>
      </c>
      <c r="P13" s="505">
        <v>1921</v>
      </c>
      <c r="Q13" s="504"/>
      <c r="R13" s="525" t="s">
        <v>152</v>
      </c>
      <c r="S13" s="525">
        <v>2085</v>
      </c>
      <c r="T13" s="525">
        <v>1982</v>
      </c>
      <c r="U13" s="505">
        <v>2314</v>
      </c>
      <c r="V13" s="499"/>
      <c r="W13" s="525" t="s">
        <v>152</v>
      </c>
      <c r="X13" s="536">
        <v>2309</v>
      </c>
      <c r="Y13" s="536">
        <v>2234</v>
      </c>
      <c r="Z13" s="536">
        <v>2021</v>
      </c>
      <c r="AA13" s="536">
        <v>2176</v>
      </c>
      <c r="AB13" s="536">
        <v>2143</v>
      </c>
      <c r="AC13" s="536">
        <v>2190</v>
      </c>
      <c r="AD13" s="536">
        <v>4102</v>
      </c>
      <c r="AE13" s="536">
        <v>4072</v>
      </c>
      <c r="AF13" s="536">
        <v>4061</v>
      </c>
      <c r="AG13" s="536">
        <v>3977</v>
      </c>
      <c r="AH13" s="537">
        <v>1855</v>
      </c>
      <c r="AI13" s="537">
        <v>4647</v>
      </c>
      <c r="AJ13" s="1166">
        <v>3775</v>
      </c>
    </row>
    <row r="14" spans="1:36">
      <c r="A14" s="498"/>
      <c r="B14" s="504"/>
      <c r="C14" s="525" t="s">
        <v>166</v>
      </c>
      <c r="D14" s="525">
        <v>70873</v>
      </c>
      <c r="E14" s="525">
        <v>67965</v>
      </c>
      <c r="F14" s="525">
        <v>73443</v>
      </c>
      <c r="G14" s="525">
        <v>72217</v>
      </c>
      <c r="H14" s="525">
        <v>83751</v>
      </c>
      <c r="I14" s="525">
        <v>98395</v>
      </c>
      <c r="J14" s="505">
        <v>117458</v>
      </c>
      <c r="K14" s="504"/>
      <c r="L14" s="525" t="s">
        <v>166</v>
      </c>
      <c r="M14" s="525">
        <v>111239</v>
      </c>
      <c r="N14" s="525">
        <v>106112</v>
      </c>
      <c r="O14" s="525">
        <v>104604</v>
      </c>
      <c r="P14" s="505">
        <v>112917</v>
      </c>
      <c r="Q14" s="504"/>
      <c r="R14" s="525" t="s">
        <v>166</v>
      </c>
      <c r="S14" s="525">
        <v>103908</v>
      </c>
      <c r="T14" s="525">
        <v>111465</v>
      </c>
      <c r="U14" s="505">
        <v>114093</v>
      </c>
      <c r="V14" s="540"/>
      <c r="W14" s="541" t="s">
        <v>166</v>
      </c>
      <c r="X14" s="542">
        <v>124428</v>
      </c>
      <c r="Y14" s="542">
        <v>120094</v>
      </c>
      <c r="Z14" s="542">
        <v>121876</v>
      </c>
      <c r="AA14" s="542">
        <v>126859</v>
      </c>
      <c r="AB14" s="542">
        <v>125725</v>
      </c>
      <c r="AC14" s="542">
        <v>132690</v>
      </c>
      <c r="AD14" s="542">
        <v>151221</v>
      </c>
      <c r="AE14" s="542">
        <v>166766</v>
      </c>
      <c r="AF14" s="542">
        <v>197292</v>
      </c>
      <c r="AG14" s="542">
        <v>188188</v>
      </c>
      <c r="AH14" s="543">
        <v>166429</v>
      </c>
      <c r="AI14" s="543">
        <v>131370</v>
      </c>
      <c r="AJ14" s="1173">
        <f>SUM(AJ11:AJ13)</f>
        <v>115361</v>
      </c>
    </row>
    <row r="15" spans="1:36">
      <c r="A15" s="498"/>
      <c r="B15" s="504" t="s">
        <v>255</v>
      </c>
      <c r="C15" s="525" t="s">
        <v>256</v>
      </c>
      <c r="D15" s="525">
        <v>862</v>
      </c>
      <c r="E15" s="525">
        <v>902</v>
      </c>
      <c r="F15" s="525">
        <v>954</v>
      </c>
      <c r="G15" s="525">
        <v>1060</v>
      </c>
      <c r="H15" s="525">
        <v>1139</v>
      </c>
      <c r="I15" s="525">
        <v>1170</v>
      </c>
      <c r="J15" s="505">
        <v>1336</v>
      </c>
      <c r="K15" s="504" t="s">
        <v>255</v>
      </c>
      <c r="L15" s="525" t="s">
        <v>256</v>
      </c>
      <c r="M15" s="525">
        <v>1363</v>
      </c>
      <c r="N15" s="525">
        <v>1369</v>
      </c>
      <c r="O15" s="525">
        <v>1395</v>
      </c>
      <c r="P15" s="505">
        <v>1529</v>
      </c>
      <c r="Q15" s="504" t="s">
        <v>255</v>
      </c>
      <c r="R15" s="525" t="s">
        <v>256</v>
      </c>
      <c r="S15" s="525">
        <v>1620</v>
      </c>
      <c r="T15" s="525">
        <v>1737</v>
      </c>
      <c r="U15" s="505">
        <v>1893</v>
      </c>
      <c r="V15" s="499" t="s">
        <v>255</v>
      </c>
      <c r="W15" s="525" t="s">
        <v>256</v>
      </c>
      <c r="X15" s="536">
        <v>1959</v>
      </c>
      <c r="Y15" s="536">
        <v>1874</v>
      </c>
      <c r="Z15" s="536">
        <v>2027</v>
      </c>
      <c r="AA15" s="536">
        <v>2137</v>
      </c>
      <c r="AB15" s="536">
        <v>2300</v>
      </c>
      <c r="AC15" s="536">
        <v>2287</v>
      </c>
      <c r="AD15" s="536">
        <v>2229</v>
      </c>
      <c r="AE15" s="536">
        <v>2284</v>
      </c>
      <c r="AF15" s="536"/>
      <c r="AG15" s="536"/>
      <c r="AH15" s="537"/>
      <c r="AI15" s="537"/>
      <c r="AJ15" s="1099"/>
    </row>
    <row r="16" spans="1:36">
      <c r="A16" s="498"/>
      <c r="B16" s="504"/>
      <c r="C16" s="525" t="s">
        <v>253</v>
      </c>
      <c r="D16" s="525">
        <v>5</v>
      </c>
      <c r="E16" s="525">
        <v>9</v>
      </c>
      <c r="F16" s="525">
        <v>8</v>
      </c>
      <c r="G16" s="525">
        <v>10</v>
      </c>
      <c r="H16" s="525">
        <v>17</v>
      </c>
      <c r="I16" s="525">
        <v>24</v>
      </c>
      <c r="J16" s="505">
        <v>19</v>
      </c>
      <c r="K16" s="504"/>
      <c r="L16" s="525" t="s">
        <v>253</v>
      </c>
      <c r="M16" s="525">
        <v>27</v>
      </c>
      <c r="N16" s="525">
        <v>32</v>
      </c>
      <c r="O16" s="525">
        <v>37</v>
      </c>
      <c r="P16" s="505">
        <v>24</v>
      </c>
      <c r="Q16" s="504"/>
      <c r="R16" s="525" t="s">
        <v>253</v>
      </c>
      <c r="S16" s="525">
        <v>41</v>
      </c>
      <c r="T16" s="525">
        <v>45</v>
      </c>
      <c r="U16" s="505">
        <v>25</v>
      </c>
      <c r="V16" s="499"/>
      <c r="W16" s="525" t="s">
        <v>257</v>
      </c>
      <c r="X16" s="536">
        <v>28</v>
      </c>
      <c r="Y16" s="536">
        <v>22</v>
      </c>
      <c r="Z16" s="536"/>
      <c r="AA16" s="536"/>
      <c r="AB16" s="536"/>
      <c r="AC16" s="536"/>
      <c r="AD16" s="536"/>
      <c r="AE16" s="536"/>
      <c r="AF16" s="536"/>
      <c r="AG16" s="536"/>
      <c r="AH16" s="537"/>
      <c r="AI16" s="537"/>
      <c r="AJ16" s="1099"/>
    </row>
    <row r="17" spans="1:36">
      <c r="A17" s="498"/>
      <c r="B17" s="504"/>
      <c r="C17" s="525" t="s">
        <v>164</v>
      </c>
      <c r="D17" s="525">
        <v>44</v>
      </c>
      <c r="E17" s="525">
        <v>52</v>
      </c>
      <c r="F17" s="525">
        <v>63</v>
      </c>
      <c r="G17" s="525">
        <v>49</v>
      </c>
      <c r="H17" s="525">
        <v>51</v>
      </c>
      <c r="I17" s="525">
        <v>58</v>
      </c>
      <c r="J17" s="505">
        <v>48</v>
      </c>
      <c r="K17" s="504"/>
      <c r="L17" s="525" t="s">
        <v>164</v>
      </c>
      <c r="M17" s="525">
        <v>35</v>
      </c>
      <c r="N17" s="525">
        <v>50</v>
      </c>
      <c r="O17" s="525">
        <v>50</v>
      </c>
      <c r="P17" s="505">
        <v>46</v>
      </c>
      <c r="Q17" s="504"/>
      <c r="R17" s="525" t="s">
        <v>164</v>
      </c>
      <c r="S17" s="525">
        <v>61</v>
      </c>
      <c r="T17" s="525">
        <v>67</v>
      </c>
      <c r="U17" s="505">
        <v>61</v>
      </c>
      <c r="V17" s="499"/>
      <c r="W17" s="525" t="s">
        <v>258</v>
      </c>
      <c r="X17" s="536">
        <v>39</v>
      </c>
      <c r="Y17" s="536">
        <v>27</v>
      </c>
      <c r="Z17" s="536">
        <v>42</v>
      </c>
      <c r="AA17" s="536">
        <v>50</v>
      </c>
      <c r="AB17" s="536">
        <v>60</v>
      </c>
      <c r="AC17" s="536">
        <v>48</v>
      </c>
      <c r="AD17" s="536">
        <v>61</v>
      </c>
      <c r="AE17" s="536">
        <v>40</v>
      </c>
      <c r="AF17" s="536"/>
      <c r="AG17" s="536"/>
      <c r="AH17" s="537"/>
      <c r="AI17" s="537"/>
      <c r="AJ17" s="1099"/>
    </row>
    <row r="18" spans="1:36">
      <c r="A18" s="501"/>
      <c r="B18" s="507"/>
      <c r="C18" s="526" t="s">
        <v>166</v>
      </c>
      <c r="D18" s="526">
        <v>911</v>
      </c>
      <c r="E18" s="526">
        <v>963</v>
      </c>
      <c r="F18" s="526">
        <v>1025</v>
      </c>
      <c r="G18" s="526">
        <v>1119</v>
      </c>
      <c r="H18" s="526">
        <v>1207</v>
      </c>
      <c r="I18" s="526">
        <v>1252</v>
      </c>
      <c r="J18" s="509">
        <v>1403</v>
      </c>
      <c r="K18" s="507"/>
      <c r="L18" s="526" t="s">
        <v>166</v>
      </c>
      <c r="M18" s="526">
        <v>1425</v>
      </c>
      <c r="N18" s="526">
        <v>1451</v>
      </c>
      <c r="O18" s="526">
        <v>1482</v>
      </c>
      <c r="P18" s="509">
        <v>1599</v>
      </c>
      <c r="Q18" s="507"/>
      <c r="R18" s="526" t="s">
        <v>166</v>
      </c>
      <c r="S18" s="526">
        <v>1722</v>
      </c>
      <c r="T18" s="526">
        <v>1849</v>
      </c>
      <c r="U18" s="509">
        <v>1979</v>
      </c>
      <c r="V18" s="502"/>
      <c r="W18" s="526" t="s">
        <v>166</v>
      </c>
      <c r="X18" s="538">
        <v>2026</v>
      </c>
      <c r="Y18" s="538">
        <v>1923</v>
      </c>
      <c r="Z18" s="538">
        <v>2069</v>
      </c>
      <c r="AA18" s="538">
        <v>2187</v>
      </c>
      <c r="AB18" s="538">
        <v>2360</v>
      </c>
      <c r="AC18" s="538">
        <v>2335</v>
      </c>
      <c r="AD18" s="538">
        <v>2290</v>
      </c>
      <c r="AE18" s="538">
        <v>2324</v>
      </c>
      <c r="AF18" s="538"/>
      <c r="AG18" s="538"/>
      <c r="AH18" s="539"/>
      <c r="AI18" s="539"/>
      <c r="AJ18" s="1223"/>
    </row>
    <row r="19" spans="1:36">
      <c r="A19" s="498" t="s">
        <v>38</v>
      </c>
      <c r="B19" s="504" t="s">
        <v>259</v>
      </c>
      <c r="C19" s="525" t="s">
        <v>111</v>
      </c>
      <c r="D19" s="525">
        <v>340101</v>
      </c>
      <c r="E19" s="525">
        <v>350807</v>
      </c>
      <c r="F19" s="525">
        <v>359381</v>
      </c>
      <c r="G19" s="525">
        <v>360180</v>
      </c>
      <c r="H19" s="525">
        <v>387364</v>
      </c>
      <c r="I19" s="525">
        <v>386767</v>
      </c>
      <c r="J19" s="505">
        <v>369458</v>
      </c>
      <c r="K19" s="504" t="s">
        <v>259</v>
      </c>
      <c r="L19" s="525" t="s">
        <v>111</v>
      </c>
      <c r="M19" s="525">
        <v>362711</v>
      </c>
      <c r="N19" s="525">
        <v>368416</v>
      </c>
      <c r="O19" s="525">
        <v>367960</v>
      </c>
      <c r="P19" s="505">
        <v>347060</v>
      </c>
      <c r="Q19" s="504" t="s">
        <v>259</v>
      </c>
      <c r="R19" s="525" t="s">
        <v>111</v>
      </c>
      <c r="S19" s="525">
        <v>333498</v>
      </c>
      <c r="T19" s="525">
        <v>330110</v>
      </c>
      <c r="U19" s="505">
        <v>295315</v>
      </c>
      <c r="V19" s="499" t="s">
        <v>259</v>
      </c>
      <c r="W19" s="525" t="s">
        <v>111</v>
      </c>
      <c r="X19" s="536">
        <v>290081</v>
      </c>
      <c r="Y19" s="536">
        <v>287580</v>
      </c>
      <c r="Z19" s="536">
        <v>287013</v>
      </c>
      <c r="AA19" s="536">
        <v>271731</v>
      </c>
      <c r="AB19" s="536">
        <v>265959</v>
      </c>
      <c r="AC19" s="536">
        <v>258839</v>
      </c>
      <c r="AD19" s="536">
        <v>260244</v>
      </c>
      <c r="AE19" s="536">
        <v>260290</v>
      </c>
      <c r="AF19" s="536">
        <v>253630</v>
      </c>
      <c r="AG19" s="536">
        <v>245372</v>
      </c>
      <c r="AH19" s="537">
        <v>227348</v>
      </c>
      <c r="AI19" s="537">
        <v>222452</v>
      </c>
      <c r="AJ19" s="1108">
        <v>218813</v>
      </c>
    </row>
    <row r="20" spans="1:36">
      <c r="A20" s="498"/>
      <c r="B20" s="504"/>
      <c r="C20" s="525" t="s">
        <v>112</v>
      </c>
      <c r="D20" s="525">
        <v>36514</v>
      </c>
      <c r="E20" s="525">
        <v>40765</v>
      </c>
      <c r="F20" s="525">
        <v>42551</v>
      </c>
      <c r="G20" s="525">
        <v>45475</v>
      </c>
      <c r="H20" s="525">
        <v>49501</v>
      </c>
      <c r="I20" s="525">
        <v>52408</v>
      </c>
      <c r="J20" s="505">
        <v>51586</v>
      </c>
      <c r="K20" s="504"/>
      <c r="L20" s="525" t="s">
        <v>112</v>
      </c>
      <c r="M20" s="525">
        <v>50381</v>
      </c>
      <c r="N20" s="525">
        <v>54665</v>
      </c>
      <c r="O20" s="525">
        <v>59118</v>
      </c>
      <c r="P20" s="505">
        <v>61614</v>
      </c>
      <c r="Q20" s="504"/>
      <c r="R20" s="525" t="s">
        <v>112</v>
      </c>
      <c r="S20" s="525">
        <v>62793</v>
      </c>
      <c r="T20" s="525">
        <v>60892</v>
      </c>
      <c r="U20" s="505">
        <v>53281</v>
      </c>
      <c r="V20" s="499"/>
      <c r="W20" s="525" t="s">
        <v>112</v>
      </c>
      <c r="X20" s="536">
        <v>54517</v>
      </c>
      <c r="Y20" s="536">
        <v>55030</v>
      </c>
      <c r="Z20" s="536">
        <v>55783</v>
      </c>
      <c r="AA20" s="536">
        <v>56705</v>
      </c>
      <c r="AB20" s="536">
        <v>60030</v>
      </c>
      <c r="AC20" s="536">
        <v>59882</v>
      </c>
      <c r="AD20" s="536">
        <v>58137</v>
      </c>
      <c r="AE20" s="536">
        <v>58189</v>
      </c>
      <c r="AF20" s="536">
        <v>59937</v>
      </c>
      <c r="AG20" s="536">
        <v>62597</v>
      </c>
      <c r="AH20" s="537">
        <v>61124</v>
      </c>
      <c r="AI20" s="537">
        <v>66748</v>
      </c>
      <c r="AJ20" s="1166">
        <v>70717</v>
      </c>
    </row>
    <row r="21" spans="1:36">
      <c r="A21" s="498"/>
      <c r="B21" s="504"/>
      <c r="C21" s="525" t="s">
        <v>166</v>
      </c>
      <c r="D21" s="525">
        <v>376615</v>
      </c>
      <c r="E21" s="525">
        <v>391572</v>
      </c>
      <c r="F21" s="525">
        <v>401932</v>
      </c>
      <c r="G21" s="525">
        <v>405655</v>
      </c>
      <c r="H21" s="525">
        <v>436865</v>
      </c>
      <c r="I21" s="525">
        <v>439175</v>
      </c>
      <c r="J21" s="505">
        <v>421044</v>
      </c>
      <c r="K21" s="504"/>
      <c r="L21" s="525" t="s">
        <v>166</v>
      </c>
      <c r="M21" s="525">
        <v>413092</v>
      </c>
      <c r="N21" s="525">
        <v>423081</v>
      </c>
      <c r="O21" s="525">
        <v>427078</v>
      </c>
      <c r="P21" s="505">
        <v>408674</v>
      </c>
      <c r="Q21" s="504"/>
      <c r="R21" s="525" t="s">
        <v>166</v>
      </c>
      <c r="S21" s="525">
        <v>396291</v>
      </c>
      <c r="T21" s="525">
        <v>391002</v>
      </c>
      <c r="U21" s="505">
        <v>348596</v>
      </c>
      <c r="V21" s="540"/>
      <c r="W21" s="541" t="s">
        <v>166</v>
      </c>
      <c r="X21" s="542">
        <v>344598</v>
      </c>
      <c r="Y21" s="542">
        <v>342610</v>
      </c>
      <c r="Z21" s="542">
        <v>342796</v>
      </c>
      <c r="AA21" s="542">
        <v>328436</v>
      </c>
      <c r="AB21" s="542">
        <v>325989</v>
      </c>
      <c r="AC21" s="542">
        <v>318721</v>
      </c>
      <c r="AD21" s="542">
        <v>318381</v>
      </c>
      <c r="AE21" s="542">
        <v>318479</v>
      </c>
      <c r="AF21" s="542">
        <v>313567</v>
      </c>
      <c r="AG21" s="542">
        <v>307969</v>
      </c>
      <c r="AH21" s="543">
        <v>288472</v>
      </c>
      <c r="AI21" s="543">
        <v>289200</v>
      </c>
      <c r="AJ21" s="1166">
        <f>SUM(AJ19:AJ20)</f>
        <v>289530</v>
      </c>
    </row>
    <row r="22" spans="1:36">
      <c r="A22" s="498"/>
      <c r="B22" s="504"/>
      <c r="C22" s="525"/>
      <c r="D22" s="525"/>
      <c r="E22" s="525"/>
      <c r="F22" s="525"/>
      <c r="G22" s="525"/>
      <c r="H22" s="525"/>
      <c r="I22" s="525"/>
      <c r="J22" s="505"/>
      <c r="K22" s="504"/>
      <c r="L22" s="525"/>
      <c r="M22" s="525"/>
      <c r="N22" s="525"/>
      <c r="O22" s="525"/>
      <c r="P22" s="505"/>
      <c r="Q22" s="504" t="s">
        <v>148</v>
      </c>
      <c r="R22" s="525" t="s">
        <v>260</v>
      </c>
      <c r="S22" s="525">
        <v>376310</v>
      </c>
      <c r="T22" s="525">
        <v>347836</v>
      </c>
      <c r="U22" s="505">
        <v>254368</v>
      </c>
      <c r="V22" s="499" t="s">
        <v>148</v>
      </c>
      <c r="W22" s="525" t="s">
        <v>260</v>
      </c>
      <c r="X22" s="536">
        <v>255192</v>
      </c>
      <c r="Y22" s="536">
        <v>253754</v>
      </c>
      <c r="Z22" s="536">
        <v>245004</v>
      </c>
      <c r="AA22" s="536">
        <v>240188</v>
      </c>
      <c r="AB22" s="536">
        <v>245535</v>
      </c>
      <c r="AC22" s="536">
        <v>241412</v>
      </c>
      <c r="AD22" s="536">
        <v>240455</v>
      </c>
      <c r="AE22" s="536">
        <v>240118</v>
      </c>
      <c r="AF22" s="536">
        <v>234309</v>
      </c>
      <c r="AG22" s="536">
        <v>235182</v>
      </c>
      <c r="AH22" s="537">
        <v>232215</v>
      </c>
      <c r="AI22" s="954">
        <v>238557</v>
      </c>
      <c r="AJ22" s="1173">
        <v>233763</v>
      </c>
    </row>
    <row r="23" spans="1:36">
      <c r="A23" s="498"/>
      <c r="B23" s="504"/>
      <c r="C23" s="525"/>
      <c r="D23" s="525"/>
      <c r="E23" s="525"/>
      <c r="F23" s="525"/>
      <c r="G23" s="525"/>
      <c r="H23" s="525"/>
      <c r="I23" s="525"/>
      <c r="J23" s="505"/>
      <c r="K23" s="504"/>
      <c r="L23" s="525"/>
      <c r="M23" s="525"/>
      <c r="N23" s="525"/>
      <c r="O23" s="525"/>
      <c r="P23" s="505"/>
      <c r="Q23" s="504"/>
      <c r="R23" s="525" t="s">
        <v>261</v>
      </c>
      <c r="S23" s="525">
        <v>307665</v>
      </c>
      <c r="T23" s="525">
        <v>342654</v>
      </c>
      <c r="U23" s="505">
        <v>361439</v>
      </c>
      <c r="V23" s="499"/>
      <c r="W23" s="525" t="s">
        <v>261</v>
      </c>
      <c r="X23" s="536">
        <v>377089</v>
      </c>
      <c r="Y23" s="536">
        <v>363876</v>
      </c>
      <c r="Z23" s="536">
        <v>369679</v>
      </c>
      <c r="AA23" s="536">
        <v>356179</v>
      </c>
      <c r="AB23" s="536">
        <v>255001</v>
      </c>
      <c r="AC23" s="536">
        <v>235809</v>
      </c>
      <c r="AD23" s="536">
        <v>246879</v>
      </c>
      <c r="AE23" s="536">
        <v>239236</v>
      </c>
      <c r="AF23" s="536">
        <v>232701</v>
      </c>
      <c r="AG23" s="536">
        <v>227293</v>
      </c>
      <c r="AH23" s="537">
        <v>222344</v>
      </c>
      <c r="AI23" s="537">
        <v>232070</v>
      </c>
      <c r="AJ23" s="1173">
        <v>242626</v>
      </c>
    </row>
    <row r="24" spans="1:36">
      <c r="A24" s="498"/>
      <c r="B24" s="504"/>
      <c r="C24" s="525"/>
      <c r="D24" s="525"/>
      <c r="E24" s="525"/>
      <c r="F24" s="525"/>
      <c r="G24" s="525"/>
      <c r="H24" s="525"/>
      <c r="I24" s="525"/>
      <c r="J24" s="505"/>
      <c r="K24" s="504"/>
      <c r="L24" s="525"/>
      <c r="M24" s="525"/>
      <c r="N24" s="525"/>
      <c r="O24" s="525"/>
      <c r="P24" s="505"/>
      <c r="Q24" s="504"/>
      <c r="R24" s="525" t="s">
        <v>262</v>
      </c>
      <c r="S24" s="525">
        <v>299628</v>
      </c>
      <c r="T24" s="525">
        <v>318903</v>
      </c>
      <c r="U24" s="505">
        <v>354792</v>
      </c>
      <c r="V24" s="540"/>
      <c r="W24" s="541" t="s">
        <v>262</v>
      </c>
      <c r="X24" s="542">
        <v>374891</v>
      </c>
      <c r="Y24" s="542">
        <v>364712</v>
      </c>
      <c r="Z24" s="542">
        <v>380964</v>
      </c>
      <c r="AA24" s="542">
        <v>372680</v>
      </c>
      <c r="AB24" s="542">
        <v>296740</v>
      </c>
      <c r="AC24" s="542">
        <v>241904</v>
      </c>
      <c r="AD24" s="542">
        <v>251877</v>
      </c>
      <c r="AE24" s="542">
        <v>246500</v>
      </c>
      <c r="AF24" s="542">
        <v>236279</v>
      </c>
      <c r="AG24" s="542">
        <v>224375</v>
      </c>
      <c r="AH24" s="543">
        <v>221486</v>
      </c>
      <c r="AI24" s="543">
        <v>231272</v>
      </c>
      <c r="AJ24" s="1173">
        <v>247378</v>
      </c>
    </row>
    <row r="25" spans="1:36">
      <c r="A25" s="498"/>
      <c r="B25" s="504"/>
      <c r="C25" s="525"/>
      <c r="D25" s="525"/>
      <c r="E25" s="525"/>
      <c r="F25" s="525"/>
      <c r="G25" s="525"/>
      <c r="H25" s="525"/>
      <c r="I25" s="525"/>
      <c r="J25" s="505"/>
      <c r="K25" s="504"/>
      <c r="L25" s="525"/>
      <c r="M25" s="525"/>
      <c r="N25" s="525"/>
      <c r="O25" s="525"/>
      <c r="P25" s="505"/>
      <c r="Q25" s="504" t="s">
        <v>263</v>
      </c>
      <c r="R25" s="525" t="s">
        <v>111</v>
      </c>
      <c r="S25" s="525">
        <v>145040</v>
      </c>
      <c r="T25" s="525">
        <v>151765</v>
      </c>
      <c r="U25" s="505">
        <v>164459</v>
      </c>
      <c r="V25" s="499" t="s">
        <v>263</v>
      </c>
      <c r="W25" s="525" t="s">
        <v>111</v>
      </c>
      <c r="X25" s="536">
        <v>187237</v>
      </c>
      <c r="Y25" s="536">
        <v>197594</v>
      </c>
      <c r="Z25" s="536">
        <v>224917</v>
      </c>
      <c r="AA25" s="536">
        <v>225571</v>
      </c>
      <c r="AB25" s="536">
        <v>177750</v>
      </c>
      <c r="AC25" s="536">
        <v>146749</v>
      </c>
      <c r="AD25" s="536">
        <v>160643</v>
      </c>
      <c r="AE25" s="536">
        <v>156844</v>
      </c>
      <c r="AF25" s="536">
        <v>152440</v>
      </c>
      <c r="AG25" s="536">
        <v>140865</v>
      </c>
      <c r="AH25" s="537">
        <v>140322</v>
      </c>
      <c r="AI25" s="537">
        <v>141853</v>
      </c>
      <c r="AJ25" s="1166">
        <v>155117</v>
      </c>
    </row>
    <row r="26" spans="1:36">
      <c r="A26" s="498"/>
      <c r="B26" s="504"/>
      <c r="C26" s="525"/>
      <c r="D26" s="525"/>
      <c r="E26" s="525"/>
      <c r="F26" s="525"/>
      <c r="G26" s="525"/>
      <c r="H26" s="525"/>
      <c r="I26" s="525"/>
      <c r="J26" s="505"/>
      <c r="K26" s="504"/>
      <c r="L26" s="525"/>
      <c r="M26" s="525"/>
      <c r="N26" s="525"/>
      <c r="O26" s="525"/>
      <c r="P26" s="505"/>
      <c r="Q26" s="504"/>
      <c r="R26" s="525" t="s">
        <v>112</v>
      </c>
      <c r="S26" s="525">
        <v>19914</v>
      </c>
      <c r="T26" s="525">
        <v>25185</v>
      </c>
      <c r="U26" s="505">
        <v>28890</v>
      </c>
      <c r="V26" s="499"/>
      <c r="W26" s="525" t="s">
        <v>112</v>
      </c>
      <c r="X26" s="536">
        <v>35456</v>
      </c>
      <c r="Y26" s="536">
        <v>40729</v>
      </c>
      <c r="Z26" s="536">
        <v>49874</v>
      </c>
      <c r="AA26" s="536">
        <v>51508</v>
      </c>
      <c r="AB26" s="536">
        <v>49392</v>
      </c>
      <c r="AC26" s="536">
        <v>42609</v>
      </c>
      <c r="AD26" s="536">
        <v>42444</v>
      </c>
      <c r="AE26" s="536">
        <v>42733</v>
      </c>
      <c r="AF26" s="536">
        <v>42085</v>
      </c>
      <c r="AG26" s="536">
        <v>39045</v>
      </c>
      <c r="AH26" s="537">
        <v>39061</v>
      </c>
      <c r="AI26" s="537">
        <v>42519</v>
      </c>
      <c r="AJ26" s="1166">
        <v>46303</v>
      </c>
    </row>
    <row r="27" spans="1:36">
      <c r="A27" s="498"/>
      <c r="B27" s="504" t="s">
        <v>263</v>
      </c>
      <c r="C27" s="525" t="s">
        <v>111</v>
      </c>
      <c r="D27" s="525">
        <v>187681</v>
      </c>
      <c r="E27" s="525">
        <v>129937</v>
      </c>
      <c r="F27" s="525">
        <v>125704</v>
      </c>
      <c r="G27" s="525">
        <v>133960</v>
      </c>
      <c r="H27" s="525">
        <v>112269</v>
      </c>
      <c r="I27" s="525">
        <v>109375</v>
      </c>
      <c r="J27" s="505">
        <v>108515</v>
      </c>
      <c r="K27" s="504" t="s">
        <v>263</v>
      </c>
      <c r="L27" s="525" t="s">
        <v>111</v>
      </c>
      <c r="M27" s="525">
        <v>110835</v>
      </c>
      <c r="N27" s="525">
        <v>112527</v>
      </c>
      <c r="O27" s="525">
        <v>111088</v>
      </c>
      <c r="P27" s="505">
        <v>126804</v>
      </c>
      <c r="Q27" s="504"/>
      <c r="R27" s="525" t="s">
        <v>166</v>
      </c>
      <c r="S27" s="525">
        <v>164954</v>
      </c>
      <c r="T27" s="525">
        <v>176950</v>
      </c>
      <c r="U27" s="505">
        <v>193349</v>
      </c>
      <c r="V27" s="540"/>
      <c r="W27" s="541" t="s">
        <v>166</v>
      </c>
      <c r="X27" s="542">
        <v>222693</v>
      </c>
      <c r="Y27" s="542">
        <v>238323</v>
      </c>
      <c r="Z27" s="542">
        <v>274791</v>
      </c>
      <c r="AA27" s="542">
        <v>277079</v>
      </c>
      <c r="AB27" s="542">
        <v>227142</v>
      </c>
      <c r="AC27" s="542">
        <v>189358</v>
      </c>
      <c r="AD27" s="542">
        <v>203087</v>
      </c>
      <c r="AE27" s="542">
        <v>199577</v>
      </c>
      <c r="AF27" s="542">
        <v>194525</v>
      </c>
      <c r="AG27" s="542">
        <v>179910</v>
      </c>
      <c r="AH27" s="543">
        <v>179383</v>
      </c>
      <c r="AI27" s="543">
        <v>184372</v>
      </c>
      <c r="AJ27" s="1166">
        <f>SUM(AJ25:AJ26)</f>
        <v>201420</v>
      </c>
    </row>
    <row r="28" spans="1:36">
      <c r="A28" s="498"/>
      <c r="B28" s="504"/>
      <c r="C28" s="525" t="s">
        <v>112</v>
      </c>
      <c r="D28" s="525">
        <v>27419</v>
      </c>
      <c r="E28" s="525">
        <v>17749</v>
      </c>
      <c r="F28" s="525">
        <v>15774</v>
      </c>
      <c r="G28" s="525">
        <v>16099</v>
      </c>
      <c r="H28" s="525">
        <v>13611</v>
      </c>
      <c r="I28" s="525">
        <v>12367</v>
      </c>
      <c r="J28" s="505">
        <v>11503</v>
      </c>
      <c r="K28" s="504"/>
      <c r="L28" s="525" t="s">
        <v>112</v>
      </c>
      <c r="M28" s="525">
        <v>11676</v>
      </c>
      <c r="N28" s="525">
        <v>11665</v>
      </c>
      <c r="O28" s="525">
        <v>11856</v>
      </c>
      <c r="P28" s="505">
        <v>14595</v>
      </c>
      <c r="Q28" s="504" t="s">
        <v>264</v>
      </c>
      <c r="R28" s="525" t="s">
        <v>265</v>
      </c>
      <c r="S28" s="525">
        <v>32586</v>
      </c>
      <c r="T28" s="525">
        <v>31019</v>
      </c>
      <c r="U28" s="505">
        <v>24137</v>
      </c>
      <c r="V28" s="499" t="s">
        <v>264</v>
      </c>
      <c r="W28" s="525" t="s">
        <v>265</v>
      </c>
      <c r="X28" s="536">
        <v>27889</v>
      </c>
      <c r="Y28" s="536">
        <v>26663</v>
      </c>
      <c r="Z28" s="536">
        <v>24958</v>
      </c>
      <c r="AA28" s="536">
        <v>24644</v>
      </c>
      <c r="AB28" s="536">
        <v>25710</v>
      </c>
      <c r="AC28" s="536">
        <v>21858</v>
      </c>
      <c r="AD28" s="536">
        <v>18898</v>
      </c>
      <c r="AE28" s="536">
        <v>18591</v>
      </c>
      <c r="AF28" s="536">
        <v>16536</v>
      </c>
      <c r="AG28" s="536">
        <v>16699</v>
      </c>
      <c r="AH28" s="537">
        <v>16899</v>
      </c>
      <c r="AI28" s="537">
        <v>16894</v>
      </c>
      <c r="AJ28" s="1166">
        <v>19647</v>
      </c>
    </row>
    <row r="29" spans="1:36">
      <c r="A29" s="498"/>
      <c r="B29" s="504"/>
      <c r="C29" s="525" t="s">
        <v>166</v>
      </c>
      <c r="D29" s="525">
        <v>215100</v>
      </c>
      <c r="E29" s="525">
        <v>147686</v>
      </c>
      <c r="F29" s="525">
        <v>141478</v>
      </c>
      <c r="G29" s="525">
        <v>150059</v>
      </c>
      <c r="H29" s="525">
        <v>125880</v>
      </c>
      <c r="I29" s="525">
        <v>121742</v>
      </c>
      <c r="J29" s="505">
        <v>120018</v>
      </c>
      <c r="K29" s="504"/>
      <c r="L29" s="525" t="s">
        <v>166</v>
      </c>
      <c r="M29" s="525">
        <v>122511</v>
      </c>
      <c r="N29" s="525">
        <v>124192</v>
      </c>
      <c r="O29" s="525">
        <v>122944</v>
      </c>
      <c r="P29" s="505">
        <v>141399</v>
      </c>
      <c r="Q29" s="504"/>
      <c r="R29" s="525" t="s">
        <v>266</v>
      </c>
      <c r="S29" s="525">
        <v>284</v>
      </c>
      <c r="T29" s="525">
        <v>292</v>
      </c>
      <c r="U29" s="505">
        <v>257</v>
      </c>
      <c r="V29" s="540"/>
      <c r="W29" s="541" t="s">
        <v>266</v>
      </c>
      <c r="X29" s="542">
        <v>237</v>
      </c>
      <c r="Y29" s="542">
        <v>269</v>
      </c>
      <c r="Z29" s="542">
        <v>217</v>
      </c>
      <c r="AA29" s="542">
        <v>247</v>
      </c>
      <c r="AB29" s="542">
        <v>215</v>
      </c>
      <c r="AC29" s="542">
        <v>227</v>
      </c>
      <c r="AD29" s="542">
        <v>140</v>
      </c>
      <c r="AE29" s="542">
        <v>161</v>
      </c>
      <c r="AF29" s="542">
        <v>159</v>
      </c>
      <c r="AG29" s="542">
        <v>113</v>
      </c>
      <c r="AH29" s="543">
        <v>121</v>
      </c>
      <c r="AI29" s="537">
        <v>106</v>
      </c>
      <c r="AJ29" s="1166">
        <v>97</v>
      </c>
    </row>
    <row r="30" spans="1:36">
      <c r="A30" s="498"/>
      <c r="B30" s="504" t="s">
        <v>267</v>
      </c>
      <c r="C30" s="525"/>
      <c r="D30" s="525">
        <v>13667</v>
      </c>
      <c r="E30" s="525">
        <v>13742</v>
      </c>
      <c r="F30" s="525">
        <v>14157</v>
      </c>
      <c r="G30" s="525">
        <v>14650</v>
      </c>
      <c r="H30" s="525">
        <v>16498</v>
      </c>
      <c r="I30" s="525">
        <v>19962</v>
      </c>
      <c r="J30" s="505">
        <v>21847</v>
      </c>
      <c r="K30" s="504" t="s">
        <v>267</v>
      </c>
      <c r="L30" s="525"/>
      <c r="M30" s="525">
        <v>22217</v>
      </c>
      <c r="N30" s="525">
        <v>24008</v>
      </c>
      <c r="O30" s="525">
        <v>23054</v>
      </c>
      <c r="P30" s="505">
        <v>26373</v>
      </c>
      <c r="Q30" s="504" t="s">
        <v>268</v>
      </c>
      <c r="R30" s="525" t="s">
        <v>269</v>
      </c>
      <c r="S30" s="525">
        <v>26033</v>
      </c>
      <c r="T30" s="525">
        <v>26523</v>
      </c>
      <c r="U30" s="505">
        <v>28927</v>
      </c>
      <c r="V30" s="499" t="s">
        <v>268</v>
      </c>
      <c r="W30" s="525" t="s">
        <v>269</v>
      </c>
      <c r="X30" s="536">
        <v>29993</v>
      </c>
      <c r="Y30" s="536">
        <v>35633</v>
      </c>
      <c r="Z30" s="536">
        <v>40529</v>
      </c>
      <c r="AA30" s="536">
        <v>42377</v>
      </c>
      <c r="AB30" s="536">
        <v>40079</v>
      </c>
      <c r="AC30" s="536">
        <v>43571</v>
      </c>
      <c r="AD30" s="536">
        <v>44321</v>
      </c>
      <c r="AE30" s="536">
        <v>45948</v>
      </c>
      <c r="AF30" s="536">
        <v>47934</v>
      </c>
      <c r="AG30" s="536">
        <v>51666</v>
      </c>
      <c r="AH30" s="537">
        <v>50338</v>
      </c>
      <c r="AI30" s="537">
        <v>48502</v>
      </c>
      <c r="AJ30" s="1166">
        <v>49154</v>
      </c>
    </row>
    <row r="31" spans="1:36">
      <c r="A31" s="501"/>
      <c r="B31" s="507" t="s">
        <v>270</v>
      </c>
      <c r="C31" s="526"/>
      <c r="D31" s="526" t="s">
        <v>68</v>
      </c>
      <c r="E31" s="526" t="s">
        <v>68</v>
      </c>
      <c r="F31" s="526" t="s">
        <v>68</v>
      </c>
      <c r="G31" s="526" t="s">
        <v>68</v>
      </c>
      <c r="H31" s="526" t="s">
        <v>68</v>
      </c>
      <c r="I31" s="526">
        <v>3536</v>
      </c>
      <c r="J31" s="509">
        <v>3150</v>
      </c>
      <c r="K31" s="507" t="s">
        <v>270</v>
      </c>
      <c r="L31" s="526"/>
      <c r="M31" s="526">
        <v>3896</v>
      </c>
      <c r="N31" s="526" t="s">
        <v>68</v>
      </c>
      <c r="O31" s="526" t="s">
        <v>68</v>
      </c>
      <c r="P31" s="509" t="s">
        <v>68</v>
      </c>
      <c r="Q31" s="507"/>
      <c r="R31" s="526" t="s">
        <v>271</v>
      </c>
      <c r="S31" s="526">
        <v>2741</v>
      </c>
      <c r="T31" s="526">
        <v>2321</v>
      </c>
      <c r="U31" s="509">
        <v>2173</v>
      </c>
      <c r="V31" s="502"/>
      <c r="W31" s="526" t="s">
        <v>271</v>
      </c>
      <c r="X31" s="538">
        <v>1952</v>
      </c>
      <c r="Y31" s="538">
        <v>2198</v>
      </c>
      <c r="Z31" s="538">
        <v>2702</v>
      </c>
      <c r="AA31" s="538">
        <v>2509</v>
      </c>
      <c r="AB31" s="538">
        <v>2190</v>
      </c>
      <c r="AC31" s="538">
        <v>2515</v>
      </c>
      <c r="AD31" s="538">
        <v>2021</v>
      </c>
      <c r="AE31" s="538">
        <v>1903</v>
      </c>
      <c r="AF31" s="538">
        <v>2131</v>
      </c>
      <c r="AG31" s="538">
        <v>2000</v>
      </c>
      <c r="AH31" s="539">
        <v>1806</v>
      </c>
      <c r="AI31" s="539">
        <v>1541</v>
      </c>
      <c r="AJ31" s="1167">
        <v>1401</v>
      </c>
    </row>
    <row r="32" spans="1:36">
      <c r="A32" s="498" t="s">
        <v>42</v>
      </c>
      <c r="B32" s="504"/>
      <c r="C32" s="525"/>
      <c r="D32" s="525"/>
      <c r="E32" s="525"/>
      <c r="F32" s="525"/>
      <c r="G32" s="525"/>
      <c r="H32" s="525"/>
      <c r="I32" s="525"/>
      <c r="J32" s="505"/>
      <c r="K32" s="504"/>
      <c r="L32" s="525"/>
      <c r="M32" s="525"/>
      <c r="N32" s="525"/>
      <c r="O32" s="525"/>
      <c r="P32" s="505"/>
      <c r="Q32" s="504" t="s">
        <v>259</v>
      </c>
      <c r="R32" s="525" t="s">
        <v>111</v>
      </c>
      <c r="S32" s="525">
        <v>128701</v>
      </c>
      <c r="T32" s="525">
        <v>127114</v>
      </c>
      <c r="U32" s="505">
        <v>127316</v>
      </c>
      <c r="V32" s="499" t="s">
        <v>259</v>
      </c>
      <c r="W32" s="525" t="s">
        <v>111</v>
      </c>
      <c r="X32" s="536">
        <v>131805</v>
      </c>
      <c r="Y32" s="536">
        <v>138034</v>
      </c>
      <c r="Z32" s="536">
        <v>148136</v>
      </c>
      <c r="AA32" s="536">
        <v>159978</v>
      </c>
      <c r="AB32" s="536">
        <v>164073</v>
      </c>
      <c r="AC32" s="536">
        <v>167273</v>
      </c>
      <c r="AD32" s="536">
        <v>163423</v>
      </c>
      <c r="AE32" s="536">
        <v>159031</v>
      </c>
      <c r="AF32" s="536">
        <v>162561</v>
      </c>
      <c r="AG32" s="536">
        <v>171603</v>
      </c>
      <c r="AH32" s="537">
        <v>180477</v>
      </c>
      <c r="AI32" s="537">
        <v>186245</v>
      </c>
      <c r="AJ32" s="1108">
        <v>183748</v>
      </c>
    </row>
    <row r="33" spans="1:36">
      <c r="A33" s="498"/>
      <c r="B33" s="504"/>
      <c r="C33" s="525"/>
      <c r="D33" s="525"/>
      <c r="E33" s="525"/>
      <c r="F33" s="525"/>
      <c r="G33" s="525"/>
      <c r="H33" s="525"/>
      <c r="I33" s="525"/>
      <c r="J33" s="505"/>
      <c r="K33" s="504"/>
      <c r="L33" s="525"/>
      <c r="M33" s="525"/>
      <c r="N33" s="525"/>
      <c r="O33" s="525"/>
      <c r="P33" s="505"/>
      <c r="Q33" s="504"/>
      <c r="R33" s="525" t="s">
        <v>112</v>
      </c>
      <c r="S33" s="525">
        <v>43768</v>
      </c>
      <c r="T33" s="525">
        <v>43518</v>
      </c>
      <c r="U33" s="505">
        <v>36207</v>
      </c>
      <c r="V33" s="499"/>
      <c r="W33" s="525" t="s">
        <v>112</v>
      </c>
      <c r="X33" s="536">
        <v>38296</v>
      </c>
      <c r="Y33" s="536">
        <v>40890</v>
      </c>
      <c r="Z33" s="536">
        <v>40779</v>
      </c>
      <c r="AA33" s="536">
        <v>44611</v>
      </c>
      <c r="AB33" s="536">
        <v>46219</v>
      </c>
      <c r="AC33" s="536">
        <v>46421</v>
      </c>
      <c r="AD33" s="536">
        <v>45407</v>
      </c>
      <c r="AE33" s="536">
        <v>45744</v>
      </c>
      <c r="AF33" s="536">
        <v>47431</v>
      </c>
      <c r="AG33" s="536">
        <v>47372</v>
      </c>
      <c r="AH33" s="537">
        <v>46282</v>
      </c>
      <c r="AI33" s="537">
        <v>51753</v>
      </c>
      <c r="AJ33" s="1166">
        <v>53885</v>
      </c>
    </row>
    <row r="34" spans="1:36">
      <c r="A34" s="498"/>
      <c r="B34" s="504"/>
      <c r="C34" s="525"/>
      <c r="D34" s="525"/>
      <c r="E34" s="525"/>
      <c r="F34" s="525"/>
      <c r="G34" s="525"/>
      <c r="H34" s="525"/>
      <c r="I34" s="525"/>
      <c r="J34" s="505"/>
      <c r="K34" s="504"/>
      <c r="L34" s="525"/>
      <c r="M34" s="525"/>
      <c r="N34" s="525"/>
      <c r="O34" s="525"/>
      <c r="P34" s="505"/>
      <c r="Q34" s="504"/>
      <c r="R34" s="525" t="s">
        <v>52</v>
      </c>
      <c r="S34" s="525">
        <v>172469</v>
      </c>
      <c r="T34" s="525">
        <v>170632</v>
      </c>
      <c r="U34" s="505">
        <v>163523</v>
      </c>
      <c r="V34" s="540"/>
      <c r="W34" s="541" t="s">
        <v>52</v>
      </c>
      <c r="X34" s="542">
        <v>170101</v>
      </c>
      <c r="Y34" s="542">
        <v>178924</v>
      </c>
      <c r="Z34" s="542">
        <v>188915</v>
      </c>
      <c r="AA34" s="542">
        <v>204589</v>
      </c>
      <c r="AB34" s="542">
        <v>210292</v>
      </c>
      <c r="AC34" s="542">
        <v>213694</v>
      </c>
      <c r="AD34" s="542">
        <v>208830</v>
      </c>
      <c r="AE34" s="542">
        <v>204775</v>
      </c>
      <c r="AF34" s="542">
        <v>209992</v>
      </c>
      <c r="AG34" s="542">
        <v>218975</v>
      </c>
      <c r="AH34" s="543">
        <v>226759</v>
      </c>
      <c r="AI34" s="543">
        <v>237998</v>
      </c>
      <c r="AJ34" s="1166">
        <f>SUM(AJ32:AJ33)</f>
        <v>237633</v>
      </c>
    </row>
    <row r="35" spans="1:36">
      <c r="A35" s="498"/>
      <c r="B35" s="504"/>
      <c r="C35" s="525"/>
      <c r="D35" s="525"/>
      <c r="E35" s="525"/>
      <c r="F35" s="525"/>
      <c r="G35" s="525"/>
      <c r="H35" s="525"/>
      <c r="I35" s="525"/>
      <c r="J35" s="505"/>
      <c r="K35" s="504"/>
      <c r="L35" s="525"/>
      <c r="M35" s="525"/>
      <c r="N35" s="525"/>
      <c r="O35" s="525"/>
      <c r="P35" s="505"/>
      <c r="Q35" s="504" t="s">
        <v>148</v>
      </c>
      <c r="R35" s="525" t="s">
        <v>260</v>
      </c>
      <c r="S35" s="525">
        <v>137446</v>
      </c>
      <c r="T35" s="525">
        <v>143916</v>
      </c>
      <c r="U35" s="505">
        <v>132773</v>
      </c>
      <c r="V35" s="499" t="s">
        <v>148</v>
      </c>
      <c r="W35" s="525" t="s">
        <v>260</v>
      </c>
      <c r="X35" s="536">
        <v>143071</v>
      </c>
      <c r="Y35" s="536">
        <v>149987</v>
      </c>
      <c r="Z35" s="536">
        <v>155566</v>
      </c>
      <c r="AA35" s="536">
        <v>164844</v>
      </c>
      <c r="AB35" s="536">
        <v>169894</v>
      </c>
      <c r="AC35" s="536">
        <v>176346</v>
      </c>
      <c r="AD35" s="536">
        <v>172948</v>
      </c>
      <c r="AE35" s="536">
        <v>172635</v>
      </c>
      <c r="AF35" s="536">
        <v>180680</v>
      </c>
      <c r="AG35" s="536">
        <v>183816</v>
      </c>
      <c r="AH35" s="537">
        <v>223842</v>
      </c>
      <c r="AI35" s="537">
        <v>233055</v>
      </c>
      <c r="AJ35" s="1166">
        <v>202508</v>
      </c>
    </row>
    <row r="36" spans="1:36">
      <c r="A36" s="498"/>
      <c r="B36" s="504"/>
      <c r="C36" s="525"/>
      <c r="D36" s="525"/>
      <c r="E36" s="525"/>
      <c r="F36" s="525"/>
      <c r="G36" s="525"/>
      <c r="H36" s="525"/>
      <c r="I36" s="525"/>
      <c r="J36" s="505"/>
      <c r="K36" s="504"/>
      <c r="L36" s="525"/>
      <c r="M36" s="525"/>
      <c r="N36" s="525"/>
      <c r="O36" s="525"/>
      <c r="P36" s="505"/>
      <c r="Q36" s="504"/>
      <c r="R36" s="525" t="s">
        <v>272</v>
      </c>
      <c r="S36" s="525">
        <v>129147</v>
      </c>
      <c r="T36" s="525">
        <v>95504</v>
      </c>
      <c r="U36" s="505">
        <v>94300</v>
      </c>
      <c r="V36" s="499"/>
      <c r="W36" s="525" t="s">
        <v>272</v>
      </c>
      <c r="X36" s="536">
        <v>125633</v>
      </c>
      <c r="Y36" s="536">
        <v>174283</v>
      </c>
      <c r="Z36" s="536">
        <v>163246</v>
      </c>
      <c r="AA36" s="536">
        <v>181871</v>
      </c>
      <c r="AB36" s="536">
        <v>166915</v>
      </c>
      <c r="AC36" s="536">
        <v>164773</v>
      </c>
      <c r="AD36" s="536">
        <v>174792</v>
      </c>
      <c r="AE36" s="536">
        <v>171112</v>
      </c>
      <c r="AF36" s="536">
        <v>162689</v>
      </c>
      <c r="AG36" s="536">
        <v>172371</v>
      </c>
      <c r="AH36" s="537">
        <v>186495</v>
      </c>
      <c r="AI36" s="537">
        <v>181976</v>
      </c>
      <c r="AJ36" s="1166">
        <v>172793</v>
      </c>
    </row>
    <row r="37" spans="1:36">
      <c r="A37" s="498"/>
      <c r="B37" s="504"/>
      <c r="C37" s="525"/>
      <c r="D37" s="525"/>
      <c r="E37" s="525"/>
      <c r="F37" s="525"/>
      <c r="G37" s="525"/>
      <c r="H37" s="525"/>
      <c r="I37" s="525"/>
      <c r="J37" s="505"/>
      <c r="K37" s="504"/>
      <c r="L37" s="525"/>
      <c r="M37" s="525"/>
      <c r="N37" s="525"/>
      <c r="O37" s="525"/>
      <c r="P37" s="505"/>
      <c r="Q37" s="504"/>
      <c r="R37" s="525" t="s">
        <v>273</v>
      </c>
      <c r="S37" s="525">
        <v>152417</v>
      </c>
      <c r="T37" s="525">
        <v>108897</v>
      </c>
      <c r="U37" s="505">
        <v>89272</v>
      </c>
      <c r="V37" s="540"/>
      <c r="W37" s="541" t="s">
        <v>273</v>
      </c>
      <c r="X37" s="542">
        <v>110356</v>
      </c>
      <c r="Y37" s="542">
        <v>151184</v>
      </c>
      <c r="Z37" s="542">
        <v>163912</v>
      </c>
      <c r="AA37" s="542">
        <v>179794</v>
      </c>
      <c r="AB37" s="542">
        <v>177289</v>
      </c>
      <c r="AC37" s="542">
        <v>149620</v>
      </c>
      <c r="AD37" s="542">
        <v>172053</v>
      </c>
      <c r="AE37" s="542">
        <v>177118</v>
      </c>
      <c r="AF37" s="542">
        <v>165902</v>
      </c>
      <c r="AG37" s="542">
        <v>170160</v>
      </c>
      <c r="AH37" s="543">
        <v>177556</v>
      </c>
      <c r="AI37" s="543">
        <v>184710</v>
      </c>
      <c r="AJ37" s="1166">
        <v>172492</v>
      </c>
    </row>
    <row r="38" spans="1:36">
      <c r="A38" s="498"/>
      <c r="B38" s="504"/>
      <c r="C38" s="525"/>
      <c r="D38" s="525"/>
      <c r="E38" s="525"/>
      <c r="F38" s="525"/>
      <c r="G38" s="525"/>
      <c r="H38" s="525"/>
      <c r="I38" s="525"/>
      <c r="J38" s="505"/>
      <c r="K38" s="504"/>
      <c r="L38" s="525"/>
      <c r="M38" s="525"/>
      <c r="N38" s="525"/>
      <c r="O38" s="525"/>
      <c r="P38" s="505"/>
      <c r="Q38" s="504" t="s">
        <v>263</v>
      </c>
      <c r="R38" s="525" t="s">
        <v>111</v>
      </c>
      <c r="S38" s="525">
        <v>91562</v>
      </c>
      <c r="T38" s="525">
        <v>61115</v>
      </c>
      <c r="U38" s="505">
        <v>42129</v>
      </c>
      <c r="V38" s="499" t="s">
        <v>263</v>
      </c>
      <c r="W38" s="525" t="s">
        <v>111</v>
      </c>
      <c r="X38" s="536">
        <v>51404</v>
      </c>
      <c r="Y38" s="536">
        <v>72258</v>
      </c>
      <c r="Z38" s="536">
        <v>84061</v>
      </c>
      <c r="AA38" s="536">
        <v>95667</v>
      </c>
      <c r="AB38" s="536">
        <v>97294</v>
      </c>
      <c r="AC38" s="536">
        <v>76318</v>
      </c>
      <c r="AD38" s="536">
        <v>82400</v>
      </c>
      <c r="AE38" s="536">
        <v>90847</v>
      </c>
      <c r="AF38" s="536">
        <v>89227</v>
      </c>
      <c r="AG38" s="536">
        <v>94852</v>
      </c>
      <c r="AH38" s="537">
        <v>103881</v>
      </c>
      <c r="AI38" s="537">
        <v>110351</v>
      </c>
      <c r="AJ38" s="1166">
        <v>99202</v>
      </c>
    </row>
    <row r="39" spans="1:36">
      <c r="A39" s="498"/>
      <c r="B39" s="504"/>
      <c r="C39" s="525"/>
      <c r="D39" s="525"/>
      <c r="E39" s="525"/>
      <c r="F39" s="525"/>
      <c r="G39" s="525"/>
      <c r="H39" s="525"/>
      <c r="I39" s="525"/>
      <c r="J39" s="505"/>
      <c r="K39" s="504"/>
      <c r="L39" s="525"/>
      <c r="M39" s="525"/>
      <c r="N39" s="525"/>
      <c r="O39" s="525"/>
      <c r="P39" s="505"/>
      <c r="Q39" s="504"/>
      <c r="R39" s="525" t="s">
        <v>112</v>
      </c>
      <c r="S39" s="525">
        <v>32143</v>
      </c>
      <c r="T39" s="525">
        <v>22408</v>
      </c>
      <c r="U39" s="505">
        <v>14603</v>
      </c>
      <c r="V39" s="499"/>
      <c r="W39" s="525" t="s">
        <v>112</v>
      </c>
      <c r="X39" s="536">
        <v>17439</v>
      </c>
      <c r="Y39" s="536">
        <v>22462</v>
      </c>
      <c r="Z39" s="536">
        <v>29406</v>
      </c>
      <c r="AA39" s="536">
        <v>31663</v>
      </c>
      <c r="AB39" s="536">
        <v>32492</v>
      </c>
      <c r="AC39" s="536">
        <v>25555</v>
      </c>
      <c r="AD39" s="536">
        <v>26475</v>
      </c>
      <c r="AE39" s="536">
        <v>29815</v>
      </c>
      <c r="AF39" s="536">
        <v>29785</v>
      </c>
      <c r="AG39" s="536">
        <v>30809</v>
      </c>
      <c r="AH39" s="537">
        <v>30885</v>
      </c>
      <c r="AI39" s="537">
        <v>35531</v>
      </c>
      <c r="AJ39" s="1166">
        <v>35978</v>
      </c>
    </row>
    <row r="40" spans="1:36">
      <c r="A40" s="498"/>
      <c r="B40" s="504"/>
      <c r="C40" s="525"/>
      <c r="D40" s="525"/>
      <c r="E40" s="525"/>
      <c r="F40" s="525"/>
      <c r="G40" s="525"/>
      <c r="H40" s="525"/>
      <c r="I40" s="525"/>
      <c r="J40" s="505"/>
      <c r="K40" s="504"/>
      <c r="L40" s="525"/>
      <c r="M40" s="525"/>
      <c r="N40" s="525"/>
      <c r="O40" s="525"/>
      <c r="P40" s="505"/>
      <c r="Q40" s="504"/>
      <c r="R40" s="525" t="s">
        <v>52</v>
      </c>
      <c r="S40" s="525">
        <v>123705</v>
      </c>
      <c r="T40" s="525">
        <v>83523</v>
      </c>
      <c r="U40" s="505">
        <v>56732</v>
      </c>
      <c r="V40" s="540"/>
      <c r="W40" s="541" t="s">
        <v>52</v>
      </c>
      <c r="X40" s="542">
        <v>68843</v>
      </c>
      <c r="Y40" s="542">
        <v>94720</v>
      </c>
      <c r="Z40" s="542">
        <v>113467</v>
      </c>
      <c r="AA40" s="542">
        <v>127330</v>
      </c>
      <c r="AB40" s="542">
        <v>129786</v>
      </c>
      <c r="AC40" s="542">
        <v>101873</v>
      </c>
      <c r="AD40" s="542">
        <v>108875</v>
      </c>
      <c r="AE40" s="542">
        <v>120662</v>
      </c>
      <c r="AF40" s="542">
        <v>119012</v>
      </c>
      <c r="AG40" s="542">
        <v>125661</v>
      </c>
      <c r="AH40" s="543">
        <v>134766</v>
      </c>
      <c r="AI40" s="543">
        <v>145882</v>
      </c>
      <c r="AJ40" s="1166">
        <f>SUM(AJ38:AJ39)</f>
        <v>135180</v>
      </c>
    </row>
    <row r="41" spans="1:36">
      <c r="A41" s="498"/>
      <c r="B41" s="504"/>
      <c r="C41" s="525"/>
      <c r="D41" s="525"/>
      <c r="E41" s="525"/>
      <c r="F41" s="525"/>
      <c r="G41" s="525"/>
      <c r="H41" s="525"/>
      <c r="I41" s="525"/>
      <c r="J41" s="505"/>
      <c r="K41" s="504"/>
      <c r="L41" s="525"/>
      <c r="M41" s="525"/>
      <c r="N41" s="525"/>
      <c r="O41" s="525"/>
      <c r="P41" s="505"/>
      <c r="Q41" s="504" t="s">
        <v>267</v>
      </c>
      <c r="R41" s="525"/>
      <c r="S41" s="525">
        <v>10950</v>
      </c>
      <c r="T41" s="525">
        <v>12238</v>
      </c>
      <c r="U41" s="505">
        <v>10561</v>
      </c>
      <c r="V41" s="787" t="s">
        <v>267</v>
      </c>
      <c r="W41" s="546" t="s">
        <v>267</v>
      </c>
      <c r="X41" s="549">
        <v>9270</v>
      </c>
      <c r="Y41" s="549">
        <v>9664</v>
      </c>
      <c r="Z41" s="549">
        <v>10039</v>
      </c>
      <c r="AA41" s="549">
        <v>8111</v>
      </c>
      <c r="AB41" s="549">
        <v>7335</v>
      </c>
      <c r="AC41" s="549">
        <v>9112</v>
      </c>
      <c r="AD41" s="549">
        <v>6796</v>
      </c>
      <c r="AE41" s="549">
        <v>4880</v>
      </c>
      <c r="AF41" s="549">
        <v>4084</v>
      </c>
      <c r="AG41" s="549">
        <v>3297</v>
      </c>
      <c r="AH41" s="788">
        <v>2493</v>
      </c>
      <c r="AI41" s="955">
        <v>2196</v>
      </c>
      <c r="AJ41" s="1167">
        <v>1589</v>
      </c>
    </row>
    <row r="42" spans="1:36">
      <c r="A42" s="498"/>
      <c r="B42" s="504"/>
      <c r="C42" s="525"/>
      <c r="D42" s="525"/>
      <c r="E42" s="525"/>
      <c r="F42" s="525"/>
      <c r="G42" s="525"/>
      <c r="H42" s="525"/>
      <c r="I42" s="525"/>
      <c r="J42" s="505"/>
      <c r="K42" s="504"/>
      <c r="L42" s="525"/>
      <c r="M42" s="525"/>
      <c r="N42" s="525"/>
      <c r="O42" s="525"/>
      <c r="P42" s="505"/>
      <c r="Q42" s="504" t="s">
        <v>268</v>
      </c>
      <c r="R42" s="525" t="s">
        <v>269</v>
      </c>
      <c r="S42" s="525">
        <v>8280</v>
      </c>
      <c r="T42" s="525">
        <v>12936</v>
      </c>
      <c r="U42" s="505">
        <v>16926</v>
      </c>
      <c r="V42" s="499" t="s">
        <v>268</v>
      </c>
      <c r="W42" s="525" t="s">
        <v>269</v>
      </c>
      <c r="X42" s="536">
        <v>20810</v>
      </c>
      <c r="Y42" s="536">
        <v>23166</v>
      </c>
      <c r="Z42" s="536">
        <v>29919</v>
      </c>
      <c r="AA42" s="536">
        <v>34431</v>
      </c>
      <c r="AB42" s="536">
        <v>30128</v>
      </c>
      <c r="AC42" s="536">
        <v>27958</v>
      </c>
      <c r="AD42" s="536">
        <v>28107</v>
      </c>
      <c r="AE42" s="536">
        <v>25920</v>
      </c>
      <c r="AF42" s="536">
        <v>24104</v>
      </c>
      <c r="AG42" s="536">
        <v>27154</v>
      </c>
      <c r="AH42" s="537">
        <v>28536</v>
      </c>
      <c r="AI42" s="537">
        <v>28350</v>
      </c>
      <c r="AJ42" s="1108">
        <v>29928</v>
      </c>
    </row>
    <row r="43" spans="1:36">
      <c r="A43" s="501"/>
      <c r="B43" s="507"/>
      <c r="C43" s="526"/>
      <c r="D43" s="526"/>
      <c r="E43" s="526"/>
      <c r="F43" s="526"/>
      <c r="G43" s="526"/>
      <c r="H43" s="526"/>
      <c r="I43" s="526"/>
      <c r="J43" s="509"/>
      <c r="K43" s="507"/>
      <c r="L43" s="526"/>
      <c r="M43" s="526"/>
      <c r="N43" s="526"/>
      <c r="O43" s="526"/>
      <c r="P43" s="509"/>
      <c r="Q43" s="507"/>
      <c r="R43" s="526" t="s">
        <v>274</v>
      </c>
      <c r="S43" s="526">
        <v>586</v>
      </c>
      <c r="T43" s="526">
        <v>474</v>
      </c>
      <c r="U43" s="509">
        <v>362</v>
      </c>
      <c r="V43" s="502"/>
      <c r="W43" s="526" t="s">
        <v>274</v>
      </c>
      <c r="X43" s="538">
        <v>324</v>
      </c>
      <c r="Y43" s="538">
        <v>224</v>
      </c>
      <c r="Z43" s="538">
        <v>253</v>
      </c>
      <c r="AA43" s="538">
        <v>263</v>
      </c>
      <c r="AB43" s="538">
        <v>250</v>
      </c>
      <c r="AC43" s="538">
        <v>232</v>
      </c>
      <c r="AD43" s="538">
        <v>209</v>
      </c>
      <c r="AE43" s="538">
        <v>169</v>
      </c>
      <c r="AF43" s="538">
        <v>131</v>
      </c>
      <c r="AG43" s="538">
        <v>131</v>
      </c>
      <c r="AH43" s="539">
        <v>100</v>
      </c>
      <c r="AI43" s="539">
        <v>124</v>
      </c>
      <c r="AJ43" s="1167">
        <v>96</v>
      </c>
    </row>
    <row r="44" spans="1:36">
      <c r="A44" s="498" t="s">
        <v>43</v>
      </c>
      <c r="B44" s="504"/>
      <c r="C44" s="525"/>
      <c r="D44" s="525"/>
      <c r="E44" s="525"/>
      <c r="F44" s="525"/>
      <c r="G44" s="525"/>
      <c r="H44" s="525"/>
      <c r="I44" s="525"/>
      <c r="J44" s="505"/>
      <c r="K44" s="504"/>
      <c r="L44" s="525"/>
      <c r="M44" s="525"/>
      <c r="N44" s="525"/>
      <c r="O44" s="525"/>
      <c r="P44" s="505"/>
      <c r="Q44" s="504" t="s">
        <v>259</v>
      </c>
      <c r="R44" s="525" t="s">
        <v>111</v>
      </c>
      <c r="S44" s="525"/>
      <c r="T44" s="525"/>
      <c r="U44" s="505"/>
      <c r="V44" s="499" t="s">
        <v>259</v>
      </c>
      <c r="W44" s="525" t="s">
        <v>111</v>
      </c>
      <c r="X44" s="536">
        <v>293066</v>
      </c>
      <c r="Y44" s="536">
        <v>415829</v>
      </c>
      <c r="Z44" s="536">
        <v>535313</v>
      </c>
      <c r="AA44" s="536">
        <v>704936</v>
      </c>
      <c r="AB44" s="536">
        <v>801135</v>
      </c>
      <c r="AC44" s="536">
        <v>968251</v>
      </c>
      <c r="AD44" s="536">
        <v>1204981</v>
      </c>
      <c r="AE44" s="536">
        <v>1245709</v>
      </c>
      <c r="AF44" s="536">
        <v>1393815</v>
      </c>
      <c r="AG44" s="536">
        <v>1243568</v>
      </c>
      <c r="AH44" s="537">
        <v>1344817</v>
      </c>
      <c r="AI44" s="537">
        <v>1427845</v>
      </c>
      <c r="AJ44" s="1172">
        <v>1464605</v>
      </c>
    </row>
    <row r="45" spans="1:36">
      <c r="A45" s="498"/>
      <c r="B45" s="504"/>
      <c r="C45" s="525"/>
      <c r="D45" s="525"/>
      <c r="E45" s="525"/>
      <c r="F45" s="525"/>
      <c r="G45" s="525"/>
      <c r="H45" s="525"/>
      <c r="I45" s="525"/>
      <c r="J45" s="505"/>
      <c r="K45" s="504"/>
      <c r="L45" s="525"/>
      <c r="M45" s="525"/>
      <c r="N45" s="525"/>
      <c r="O45" s="525"/>
      <c r="P45" s="505"/>
      <c r="Q45" s="504"/>
      <c r="R45" s="525" t="s">
        <v>112</v>
      </c>
      <c r="S45" s="525"/>
      <c r="T45" s="525"/>
      <c r="U45" s="505"/>
      <c r="V45" s="499"/>
      <c r="W45" s="525" t="s">
        <v>112</v>
      </c>
      <c r="X45" s="536">
        <v>98111</v>
      </c>
      <c r="Y45" s="536">
        <v>110583</v>
      </c>
      <c r="Z45" s="536">
        <v>117464</v>
      </c>
      <c r="AA45" s="536">
        <v>120200</v>
      </c>
      <c r="AB45" s="536">
        <v>127042</v>
      </c>
      <c r="AC45" s="536">
        <v>133613</v>
      </c>
      <c r="AD45" s="536">
        <v>133522</v>
      </c>
      <c r="AE45" s="536">
        <v>135885</v>
      </c>
      <c r="AF45" s="536">
        <v>148187</v>
      </c>
      <c r="AG45" s="536">
        <v>157093</v>
      </c>
      <c r="AH45" s="537">
        <v>152342</v>
      </c>
      <c r="AI45" s="537">
        <v>157818</v>
      </c>
      <c r="AJ45" s="1173">
        <v>154663</v>
      </c>
    </row>
    <row r="46" spans="1:36">
      <c r="A46" s="498"/>
      <c r="B46" s="504"/>
      <c r="C46" s="525"/>
      <c r="D46" s="525"/>
      <c r="E46" s="525"/>
      <c r="F46" s="525"/>
      <c r="G46" s="525"/>
      <c r="H46" s="525"/>
      <c r="I46" s="525"/>
      <c r="J46" s="505"/>
      <c r="K46" s="504"/>
      <c r="L46" s="525"/>
      <c r="M46" s="525"/>
      <c r="N46" s="525"/>
      <c r="O46" s="525"/>
      <c r="P46" s="505"/>
      <c r="Q46" s="504"/>
      <c r="R46" s="525" t="s">
        <v>166</v>
      </c>
      <c r="S46" s="525"/>
      <c r="T46" s="525"/>
      <c r="U46" s="505"/>
      <c r="V46" s="540"/>
      <c r="W46" s="541" t="s">
        <v>166</v>
      </c>
      <c r="X46" s="542">
        <v>391177</v>
      </c>
      <c r="Y46" s="542">
        <v>526412</v>
      </c>
      <c r="Z46" s="542">
        <v>652777</v>
      </c>
      <c r="AA46" s="542">
        <v>825136</v>
      </c>
      <c r="AB46" s="542">
        <v>928177</v>
      </c>
      <c r="AC46" s="542">
        <v>1101864</v>
      </c>
      <c r="AD46" s="542">
        <v>1338503</v>
      </c>
      <c r="AE46" s="542">
        <v>1381594</v>
      </c>
      <c r="AF46" s="542">
        <v>1542002</v>
      </c>
      <c r="AG46" s="542">
        <v>1400661</v>
      </c>
      <c r="AH46" s="543">
        <v>1497159</v>
      </c>
      <c r="AI46" s="543">
        <v>1585663</v>
      </c>
      <c r="AJ46" s="1173">
        <f>SUM(AJ44:AJ45)</f>
        <v>1619268</v>
      </c>
    </row>
    <row r="47" spans="1:36">
      <c r="A47" s="498"/>
      <c r="B47" s="504"/>
      <c r="C47" s="525"/>
      <c r="D47" s="525"/>
      <c r="E47" s="525"/>
      <c r="F47" s="525"/>
      <c r="G47" s="525"/>
      <c r="H47" s="525"/>
      <c r="I47" s="525"/>
      <c r="J47" s="505"/>
      <c r="K47" s="504"/>
      <c r="L47" s="525"/>
      <c r="M47" s="525"/>
      <c r="N47" s="525"/>
      <c r="O47" s="525"/>
      <c r="P47" s="505"/>
      <c r="Q47" s="504" t="s">
        <v>148</v>
      </c>
      <c r="R47" s="525" t="s">
        <v>261</v>
      </c>
      <c r="S47" s="525"/>
      <c r="T47" s="525"/>
      <c r="U47" s="505"/>
      <c r="V47" s="499" t="s">
        <v>148</v>
      </c>
      <c r="W47" s="525" t="s">
        <v>261</v>
      </c>
      <c r="X47" s="536">
        <v>262526</v>
      </c>
      <c r="Y47" s="536">
        <v>292157</v>
      </c>
      <c r="Z47" s="536">
        <v>338407</v>
      </c>
      <c r="AA47" s="536">
        <v>407478</v>
      </c>
      <c r="AB47" s="536">
        <v>534733</v>
      </c>
      <c r="AC47" s="536">
        <v>661265</v>
      </c>
      <c r="AD47" s="536">
        <v>681931</v>
      </c>
      <c r="AE47" s="536">
        <v>827217</v>
      </c>
      <c r="AF47" s="536">
        <v>838869</v>
      </c>
      <c r="AG47" s="536">
        <v>1069288</v>
      </c>
      <c r="AH47" s="537">
        <v>1177540</v>
      </c>
      <c r="AI47" s="537">
        <v>1177540</v>
      </c>
      <c r="AJ47" s="1173">
        <v>1311273</v>
      </c>
    </row>
    <row r="48" spans="1:36">
      <c r="A48" s="498"/>
      <c r="B48" s="504"/>
      <c r="C48" s="525"/>
      <c r="D48" s="525"/>
      <c r="E48" s="525"/>
      <c r="F48" s="525"/>
      <c r="G48" s="525"/>
      <c r="H48" s="525"/>
      <c r="I48" s="525"/>
      <c r="J48" s="505"/>
      <c r="K48" s="504"/>
      <c r="L48" s="525"/>
      <c r="M48" s="525"/>
      <c r="N48" s="525"/>
      <c r="O48" s="525"/>
      <c r="P48" s="505"/>
      <c r="Q48" s="504"/>
      <c r="R48" s="525" t="s">
        <v>262</v>
      </c>
      <c r="S48" s="525"/>
      <c r="T48" s="525"/>
      <c r="U48" s="505"/>
      <c r="V48" s="540"/>
      <c r="W48" s="541" t="s">
        <v>262</v>
      </c>
      <c r="X48" s="542">
        <v>237304</v>
      </c>
      <c r="Y48" s="542">
        <v>271202</v>
      </c>
      <c r="Z48" s="542">
        <v>344541</v>
      </c>
      <c r="AA48" s="542">
        <v>355051</v>
      </c>
      <c r="AB48" s="542">
        <v>430661</v>
      </c>
      <c r="AC48" s="542">
        <v>557625</v>
      </c>
      <c r="AD48" s="542">
        <v>675341</v>
      </c>
      <c r="AE48" s="542">
        <v>744490</v>
      </c>
      <c r="AF48" s="542">
        <v>808869</v>
      </c>
      <c r="AG48" s="542">
        <v>1023221</v>
      </c>
      <c r="AH48" s="543">
        <v>1093942</v>
      </c>
      <c r="AI48" s="543">
        <v>1120991</v>
      </c>
      <c r="AJ48" s="1173">
        <v>1475405</v>
      </c>
    </row>
    <row r="49" spans="1:36">
      <c r="A49" s="498"/>
      <c r="B49" s="504"/>
      <c r="C49" s="525"/>
      <c r="D49" s="525"/>
      <c r="E49" s="525"/>
      <c r="F49" s="525"/>
      <c r="G49" s="525"/>
      <c r="H49" s="525"/>
      <c r="I49" s="525"/>
      <c r="J49" s="505"/>
      <c r="K49" s="504"/>
      <c r="L49" s="525"/>
      <c r="M49" s="525"/>
      <c r="N49" s="525"/>
      <c r="O49" s="525"/>
      <c r="P49" s="505"/>
      <c r="Q49" s="504" t="s">
        <v>263</v>
      </c>
      <c r="R49" s="525" t="s">
        <v>111</v>
      </c>
      <c r="S49" s="525"/>
      <c r="T49" s="525"/>
      <c r="U49" s="505"/>
      <c r="V49" s="499" t="s">
        <v>263</v>
      </c>
      <c r="W49" s="525" t="s">
        <v>111</v>
      </c>
      <c r="X49" s="536">
        <v>79767</v>
      </c>
      <c r="Y49" s="536">
        <v>112347</v>
      </c>
      <c r="Z49" s="536">
        <v>143847</v>
      </c>
      <c r="AA49" s="536">
        <v>143535</v>
      </c>
      <c r="AB49" s="536">
        <v>162680</v>
      </c>
      <c r="AC49" s="536">
        <v>263436</v>
      </c>
      <c r="AD49" s="536">
        <v>302136</v>
      </c>
      <c r="AE49" s="536">
        <v>326970</v>
      </c>
      <c r="AF49" s="536">
        <v>345959</v>
      </c>
      <c r="AG49" s="536">
        <v>360919</v>
      </c>
      <c r="AH49" s="537">
        <v>440691</v>
      </c>
      <c r="AI49" s="537">
        <v>585910</v>
      </c>
      <c r="AJ49" s="1173">
        <v>695591</v>
      </c>
    </row>
    <row r="50" spans="1:36">
      <c r="A50" s="498"/>
      <c r="B50" s="504"/>
      <c r="C50" s="525"/>
      <c r="D50" s="525"/>
      <c r="E50" s="525"/>
      <c r="F50" s="525"/>
      <c r="G50" s="525"/>
      <c r="H50" s="525"/>
      <c r="I50" s="525"/>
      <c r="J50" s="505"/>
      <c r="K50" s="504"/>
      <c r="L50" s="525"/>
      <c r="M50" s="525"/>
      <c r="N50" s="525"/>
      <c r="O50" s="525"/>
      <c r="P50" s="505"/>
      <c r="Q50" s="504"/>
      <c r="R50" s="525" t="s">
        <v>112</v>
      </c>
      <c r="S50" s="525"/>
      <c r="T50" s="525"/>
      <c r="U50" s="505"/>
      <c r="V50" s="499"/>
      <c r="W50" s="525" t="s">
        <v>112</v>
      </c>
      <c r="X50" s="536">
        <v>55343</v>
      </c>
      <c r="Y50" s="536">
        <v>59766</v>
      </c>
      <c r="Z50" s="536">
        <v>73258</v>
      </c>
      <c r="AA50" s="536">
        <v>64153</v>
      </c>
      <c r="AB50" s="536">
        <v>70548</v>
      </c>
      <c r="AC50" s="536">
        <v>95880</v>
      </c>
      <c r="AD50" s="536">
        <v>102072</v>
      </c>
      <c r="AE50" s="536">
        <v>93174</v>
      </c>
      <c r="AF50" s="536">
        <v>86188</v>
      </c>
      <c r="AG50" s="536">
        <v>91885</v>
      </c>
      <c r="AH50" s="537">
        <v>89436</v>
      </c>
      <c r="AI50" s="537">
        <v>110036</v>
      </c>
      <c r="AJ50" s="1173">
        <v>102756</v>
      </c>
    </row>
    <row r="51" spans="1:36">
      <c r="A51" s="498"/>
      <c r="B51" s="504"/>
      <c r="C51" s="525"/>
      <c r="D51" s="525"/>
      <c r="E51" s="525"/>
      <c r="F51" s="525"/>
      <c r="G51" s="525"/>
      <c r="H51" s="525"/>
      <c r="I51" s="525"/>
      <c r="J51" s="505"/>
      <c r="K51" s="504"/>
      <c r="L51" s="525"/>
      <c r="M51" s="525"/>
      <c r="N51" s="525"/>
      <c r="O51" s="525"/>
      <c r="P51" s="505"/>
      <c r="Q51" s="504"/>
      <c r="R51" s="525" t="s">
        <v>166</v>
      </c>
      <c r="S51" s="525"/>
      <c r="T51" s="525"/>
      <c r="U51" s="505"/>
      <c r="V51" s="540"/>
      <c r="W51" s="541" t="s">
        <v>166</v>
      </c>
      <c r="X51" s="542">
        <v>135110</v>
      </c>
      <c r="Y51" s="542">
        <v>172113</v>
      </c>
      <c r="Z51" s="542">
        <v>217105</v>
      </c>
      <c r="AA51" s="542">
        <v>207688</v>
      </c>
      <c r="AB51" s="542">
        <v>233228</v>
      </c>
      <c r="AC51" s="542">
        <v>359316</v>
      </c>
      <c r="AD51" s="542">
        <v>404208</v>
      </c>
      <c r="AE51" s="542">
        <v>420144</v>
      </c>
      <c r="AF51" s="542">
        <v>432147</v>
      </c>
      <c r="AG51" s="542">
        <v>452804</v>
      </c>
      <c r="AH51" s="543">
        <v>530127</v>
      </c>
      <c r="AI51" s="543">
        <v>695946</v>
      </c>
      <c r="AJ51" s="1173">
        <f>SUM(AJ49:AJ50)</f>
        <v>798347</v>
      </c>
    </row>
    <row r="52" spans="1:36">
      <c r="A52" s="498"/>
      <c r="B52" s="504"/>
      <c r="C52" s="525"/>
      <c r="D52" s="525"/>
      <c r="E52" s="525"/>
      <c r="F52" s="525"/>
      <c r="G52" s="525"/>
      <c r="H52" s="525"/>
      <c r="I52" s="525"/>
      <c r="J52" s="505"/>
      <c r="K52" s="504"/>
      <c r="L52" s="525"/>
      <c r="M52" s="525"/>
      <c r="N52" s="525"/>
      <c r="O52" s="525"/>
      <c r="P52" s="505"/>
      <c r="Q52" s="504" t="s">
        <v>275</v>
      </c>
      <c r="R52" s="525" t="s">
        <v>276</v>
      </c>
      <c r="S52" s="525"/>
      <c r="T52" s="525"/>
      <c r="U52" s="505"/>
      <c r="V52" s="499" t="s">
        <v>275</v>
      </c>
      <c r="W52" s="525" t="s">
        <v>276</v>
      </c>
      <c r="X52" s="536">
        <v>12299</v>
      </c>
      <c r="Y52" s="536">
        <v>12850</v>
      </c>
      <c r="Z52" s="536">
        <v>17328</v>
      </c>
      <c r="AA52" s="536">
        <v>18829</v>
      </c>
      <c r="AB52" s="536">
        <v>24452</v>
      </c>
      <c r="AC52" s="536">
        <v>12678</v>
      </c>
      <c r="AD52" s="536">
        <v>13107</v>
      </c>
      <c r="AE52" s="536">
        <v>28472</v>
      </c>
      <c r="AF52" s="536">
        <v>28695</v>
      </c>
      <c r="AG52" s="536">
        <v>44138</v>
      </c>
      <c r="AH52" s="537">
        <v>49988</v>
      </c>
      <c r="AI52" s="537">
        <v>73601</v>
      </c>
      <c r="AJ52" s="1173">
        <v>96713</v>
      </c>
    </row>
    <row r="53" spans="1:36">
      <c r="A53" s="498"/>
      <c r="B53" s="504"/>
      <c r="C53" s="525"/>
      <c r="D53" s="525"/>
      <c r="E53" s="525"/>
      <c r="F53" s="525"/>
      <c r="G53" s="525"/>
      <c r="H53" s="525"/>
      <c r="I53" s="525"/>
      <c r="J53" s="505"/>
      <c r="K53" s="504"/>
      <c r="L53" s="525"/>
      <c r="M53" s="525"/>
      <c r="N53" s="525"/>
      <c r="O53" s="525"/>
      <c r="P53" s="505"/>
      <c r="Q53" s="504"/>
      <c r="R53" s="525" t="s">
        <v>277</v>
      </c>
      <c r="S53" s="525"/>
      <c r="T53" s="525"/>
      <c r="U53" s="505"/>
      <c r="V53" s="540"/>
      <c r="W53" s="541" t="s">
        <v>277</v>
      </c>
      <c r="X53" s="542">
        <v>509</v>
      </c>
      <c r="Y53" s="542">
        <v>566</v>
      </c>
      <c r="Z53" s="542">
        <v>602</v>
      </c>
      <c r="AA53" s="542">
        <v>2930</v>
      </c>
      <c r="AB53" s="542">
        <v>3422</v>
      </c>
      <c r="AC53" s="542">
        <v>3724</v>
      </c>
      <c r="AD53" s="542">
        <v>3969</v>
      </c>
      <c r="AE53" s="542">
        <v>1126</v>
      </c>
      <c r="AF53" s="542">
        <v>1387</v>
      </c>
      <c r="AG53" s="542">
        <v>1403</v>
      </c>
      <c r="AH53" s="543">
        <v>1442</v>
      </c>
      <c r="AI53" s="543">
        <v>1713</v>
      </c>
      <c r="AJ53" s="1173">
        <v>1431</v>
      </c>
    </row>
    <row r="54" spans="1:36">
      <c r="A54" s="498"/>
      <c r="B54" s="504"/>
      <c r="C54" s="525"/>
      <c r="D54" s="525"/>
      <c r="E54" s="525"/>
      <c r="F54" s="525"/>
      <c r="G54" s="525"/>
      <c r="H54" s="525"/>
      <c r="I54" s="525"/>
      <c r="J54" s="505"/>
      <c r="K54" s="504"/>
      <c r="L54" s="525"/>
      <c r="M54" s="525"/>
      <c r="N54" s="525"/>
      <c r="O54" s="525"/>
      <c r="P54" s="505"/>
      <c r="Q54" s="504" t="s">
        <v>268</v>
      </c>
      <c r="R54" s="525" t="s">
        <v>278</v>
      </c>
      <c r="S54" s="525"/>
      <c r="T54" s="525"/>
      <c r="U54" s="505"/>
      <c r="V54" s="499" t="s">
        <v>268</v>
      </c>
      <c r="W54" s="525" t="s">
        <v>278</v>
      </c>
      <c r="X54" s="536">
        <v>10453</v>
      </c>
      <c r="Y54" s="536">
        <v>14553</v>
      </c>
      <c r="Z54" s="536">
        <v>18025</v>
      </c>
      <c r="AA54" s="536">
        <v>20374</v>
      </c>
      <c r="AB54" s="536">
        <v>25614</v>
      </c>
      <c r="AC54" s="536">
        <v>27925</v>
      </c>
      <c r="AD54" s="536">
        <v>39775</v>
      </c>
      <c r="AE54" s="536">
        <v>47235</v>
      </c>
      <c r="AF54" s="536">
        <v>52497</v>
      </c>
      <c r="AG54" s="536">
        <v>55776</v>
      </c>
      <c r="AH54" s="537">
        <v>63754</v>
      </c>
      <c r="AI54" s="956">
        <v>78200</v>
      </c>
      <c r="AJ54" s="1173">
        <v>77669</v>
      </c>
    </row>
    <row r="55" spans="1:36">
      <c r="A55" s="501"/>
      <c r="B55" s="507"/>
      <c r="C55" s="526"/>
      <c r="D55" s="526"/>
      <c r="E55" s="526"/>
      <c r="F55" s="526"/>
      <c r="G55" s="526"/>
      <c r="H55" s="526"/>
      <c r="I55" s="526"/>
      <c r="J55" s="509"/>
      <c r="K55" s="507"/>
      <c r="L55" s="526"/>
      <c r="M55" s="526"/>
      <c r="N55" s="526"/>
      <c r="O55" s="526"/>
      <c r="P55" s="509"/>
      <c r="Q55" s="507"/>
      <c r="R55" s="526" t="s">
        <v>274</v>
      </c>
      <c r="S55" s="526"/>
      <c r="T55" s="526"/>
      <c r="U55" s="509"/>
      <c r="V55" s="502"/>
      <c r="W55" s="526" t="s">
        <v>274</v>
      </c>
      <c r="X55" s="538">
        <v>393</v>
      </c>
      <c r="Y55" s="538">
        <v>325</v>
      </c>
      <c r="Z55" s="538">
        <v>436</v>
      </c>
      <c r="AA55" s="538">
        <v>383</v>
      </c>
      <c r="AB55" s="538">
        <v>344</v>
      </c>
      <c r="AC55" s="538">
        <v>436</v>
      </c>
      <c r="AD55" s="538">
        <v>427</v>
      </c>
      <c r="AE55" s="538">
        <v>300</v>
      </c>
      <c r="AF55" s="538">
        <v>451</v>
      </c>
      <c r="AG55" s="538">
        <v>527</v>
      </c>
      <c r="AH55" s="539">
        <v>456</v>
      </c>
      <c r="AI55" s="957">
        <v>444</v>
      </c>
      <c r="AJ55" s="1175">
        <v>394</v>
      </c>
    </row>
    <row r="56" spans="1:36">
      <c r="A56" s="498" t="s">
        <v>44</v>
      </c>
      <c r="B56" s="504" t="s">
        <v>272</v>
      </c>
      <c r="C56" s="525"/>
      <c r="D56" s="525">
        <v>174843</v>
      </c>
      <c r="E56" s="525">
        <v>187978</v>
      </c>
      <c r="F56" s="525">
        <v>209180</v>
      </c>
      <c r="G56" s="525">
        <v>230326</v>
      </c>
      <c r="H56" s="525">
        <v>238438</v>
      </c>
      <c r="I56" s="525">
        <v>249649</v>
      </c>
      <c r="J56" s="505">
        <v>271624</v>
      </c>
      <c r="K56" s="504" t="s">
        <v>272</v>
      </c>
      <c r="L56" s="525"/>
      <c r="M56" s="525">
        <v>288033</v>
      </c>
      <c r="N56" s="525">
        <v>288530</v>
      </c>
      <c r="O56" s="525">
        <v>302659</v>
      </c>
      <c r="P56" s="505">
        <v>323379</v>
      </c>
      <c r="Q56" s="504" t="s">
        <v>272</v>
      </c>
      <c r="R56" s="525"/>
      <c r="S56" s="525">
        <v>394492</v>
      </c>
      <c r="T56" s="525">
        <v>436947</v>
      </c>
      <c r="U56" s="505">
        <v>466403</v>
      </c>
      <c r="V56" s="499" t="s">
        <v>272</v>
      </c>
      <c r="W56" s="525"/>
      <c r="X56" s="536">
        <v>445245</v>
      </c>
      <c r="Y56" s="536">
        <v>579088</v>
      </c>
      <c r="Z56" s="536">
        <v>550363</v>
      </c>
      <c r="AA56" s="536">
        <v>594257</v>
      </c>
      <c r="AB56" s="536">
        <v>593723</v>
      </c>
      <c r="AC56" s="536">
        <v>633336</v>
      </c>
      <c r="AD56" s="536">
        <v>568923</v>
      </c>
      <c r="AE56" s="536">
        <v>607928</v>
      </c>
      <c r="AF56" s="536">
        <v>592895</v>
      </c>
      <c r="AG56" s="536">
        <v>600057</v>
      </c>
      <c r="AH56" s="537">
        <v>573920</v>
      </c>
      <c r="AI56" s="537">
        <v>540135</v>
      </c>
      <c r="AJ56" s="1108">
        <v>493599</v>
      </c>
    </row>
    <row r="57" spans="1:36">
      <c r="A57" s="498"/>
      <c r="B57" s="504" t="s">
        <v>279</v>
      </c>
      <c r="C57" s="525"/>
      <c r="D57" s="525">
        <v>8945</v>
      </c>
      <c r="E57" s="525">
        <v>11671</v>
      </c>
      <c r="F57" s="525">
        <v>13030</v>
      </c>
      <c r="G57" s="525">
        <v>13744</v>
      </c>
      <c r="H57" s="525">
        <v>15443</v>
      </c>
      <c r="I57" s="525">
        <v>18179</v>
      </c>
      <c r="J57" s="505">
        <v>17505</v>
      </c>
      <c r="K57" s="504" t="s">
        <v>280</v>
      </c>
      <c r="L57" s="525"/>
      <c r="M57" s="525">
        <v>21932</v>
      </c>
      <c r="N57" s="525">
        <v>17030</v>
      </c>
      <c r="O57" s="525">
        <v>11427</v>
      </c>
      <c r="P57" s="505">
        <v>7124</v>
      </c>
      <c r="Q57" s="504" t="s">
        <v>279</v>
      </c>
      <c r="R57" s="525"/>
      <c r="S57" s="525">
        <v>3107</v>
      </c>
      <c r="T57" s="525">
        <v>3087</v>
      </c>
      <c r="U57" s="505">
        <v>1930</v>
      </c>
      <c r="V57" s="499" t="s">
        <v>279</v>
      </c>
      <c r="W57" s="525"/>
      <c r="X57" s="536">
        <v>1452</v>
      </c>
      <c r="Y57" s="536">
        <v>1448</v>
      </c>
      <c r="Z57" s="536">
        <v>1385</v>
      </c>
      <c r="AA57" s="536">
        <v>1300</v>
      </c>
      <c r="AB57" s="536">
        <v>1243</v>
      </c>
      <c r="AC57" s="536">
        <v>1610</v>
      </c>
      <c r="AD57" s="536">
        <v>1211</v>
      </c>
      <c r="AE57" s="536">
        <v>1309</v>
      </c>
      <c r="AF57" s="536">
        <v>991</v>
      </c>
      <c r="AG57" s="536">
        <v>1003</v>
      </c>
      <c r="AH57" s="537">
        <v>1035</v>
      </c>
      <c r="AI57" s="537">
        <v>944</v>
      </c>
      <c r="AJ57" s="1166">
        <v>689</v>
      </c>
    </row>
    <row r="58" spans="1:36">
      <c r="A58" s="498"/>
      <c r="B58" s="504" t="s">
        <v>255</v>
      </c>
      <c r="C58" s="525" t="s">
        <v>281</v>
      </c>
      <c r="D58" s="525">
        <v>3500</v>
      </c>
      <c r="E58" s="525">
        <v>4328</v>
      </c>
      <c r="F58" s="525">
        <v>3889</v>
      </c>
      <c r="G58" s="525">
        <v>3961</v>
      </c>
      <c r="H58" s="525">
        <v>2860</v>
      </c>
      <c r="I58" s="525">
        <v>3762</v>
      </c>
      <c r="J58" s="505">
        <v>3253</v>
      </c>
      <c r="K58" s="504" t="s">
        <v>255</v>
      </c>
      <c r="L58" s="525" t="s">
        <v>282</v>
      </c>
      <c r="M58" s="525">
        <v>2683</v>
      </c>
      <c r="N58" s="525">
        <v>2387</v>
      </c>
      <c r="O58" s="525">
        <v>2834</v>
      </c>
      <c r="P58" s="505">
        <v>3349</v>
      </c>
      <c r="Q58" s="504" t="s">
        <v>255</v>
      </c>
      <c r="R58" s="525" t="s">
        <v>282</v>
      </c>
      <c r="S58" s="525">
        <v>5078</v>
      </c>
      <c r="T58" s="525">
        <v>7550</v>
      </c>
      <c r="U58" s="505">
        <v>14773</v>
      </c>
      <c r="V58" s="499" t="s">
        <v>255</v>
      </c>
      <c r="W58" s="525" t="s">
        <v>282</v>
      </c>
      <c r="X58" s="536">
        <v>14022</v>
      </c>
      <c r="Y58" s="536">
        <v>13365</v>
      </c>
      <c r="Z58" s="536">
        <v>13093</v>
      </c>
      <c r="AA58" s="536">
        <v>9481</v>
      </c>
      <c r="AB58" s="536">
        <v>9585</v>
      </c>
      <c r="AC58" s="536">
        <v>8055</v>
      </c>
      <c r="AD58" s="536">
        <v>9059</v>
      </c>
      <c r="AE58" s="536">
        <v>11347</v>
      </c>
      <c r="AF58" s="536">
        <v>8684</v>
      </c>
      <c r="AG58" s="536">
        <v>6889</v>
      </c>
      <c r="AH58" s="537">
        <v>6676</v>
      </c>
      <c r="AI58" s="537">
        <v>5270</v>
      </c>
      <c r="AJ58" s="1166">
        <v>4682</v>
      </c>
    </row>
    <row r="59" spans="1:36">
      <c r="A59" s="498"/>
      <c r="B59" s="504"/>
      <c r="C59" s="525" t="s">
        <v>283</v>
      </c>
      <c r="D59" s="525">
        <v>3067</v>
      </c>
      <c r="E59" s="525">
        <v>2911</v>
      </c>
      <c r="F59" s="525">
        <v>4286</v>
      </c>
      <c r="G59" s="525">
        <v>4689</v>
      </c>
      <c r="H59" s="525">
        <v>5134</v>
      </c>
      <c r="I59" s="525">
        <v>4978</v>
      </c>
      <c r="J59" s="505">
        <v>4851</v>
      </c>
      <c r="K59" s="504"/>
      <c r="L59" s="525" t="s">
        <v>284</v>
      </c>
      <c r="M59" s="525">
        <v>3737</v>
      </c>
      <c r="N59" s="525">
        <v>3355</v>
      </c>
      <c r="O59" s="525">
        <v>2937</v>
      </c>
      <c r="P59" s="505">
        <v>2874</v>
      </c>
      <c r="Q59" s="504"/>
      <c r="R59" s="525" t="s">
        <v>284</v>
      </c>
      <c r="S59" s="525">
        <v>3757</v>
      </c>
      <c r="T59" s="525">
        <v>4876</v>
      </c>
      <c r="U59" s="505">
        <v>7071</v>
      </c>
      <c r="V59" s="499"/>
      <c r="W59" s="525" t="s">
        <v>284</v>
      </c>
      <c r="X59" s="536">
        <v>7461</v>
      </c>
      <c r="Y59" s="536">
        <v>7861</v>
      </c>
      <c r="Z59" s="536">
        <v>7608</v>
      </c>
      <c r="AA59" s="536">
        <v>10865</v>
      </c>
      <c r="AB59" s="536">
        <v>9489</v>
      </c>
      <c r="AC59" s="536">
        <v>12289</v>
      </c>
      <c r="AD59" s="536">
        <v>15034</v>
      </c>
      <c r="AE59" s="536">
        <v>13171</v>
      </c>
      <c r="AF59" s="536">
        <v>10989</v>
      </c>
      <c r="AG59" s="536">
        <v>11353</v>
      </c>
      <c r="AH59" s="537">
        <v>7767</v>
      </c>
      <c r="AI59" s="537">
        <v>7009</v>
      </c>
      <c r="AJ59" s="1166">
        <v>5728</v>
      </c>
    </row>
    <row r="60" spans="1:36">
      <c r="A60" s="498"/>
      <c r="B60" s="504"/>
      <c r="C60" s="525" t="s">
        <v>285</v>
      </c>
      <c r="D60" s="525">
        <v>2297</v>
      </c>
      <c r="E60" s="525">
        <v>1953</v>
      </c>
      <c r="F60" s="525" t="s">
        <v>68</v>
      </c>
      <c r="G60" s="525" t="s">
        <v>68</v>
      </c>
      <c r="H60" s="525" t="s">
        <v>68</v>
      </c>
      <c r="I60" s="525" t="s">
        <v>68</v>
      </c>
      <c r="J60" s="505" t="s">
        <v>68</v>
      </c>
      <c r="K60" s="504"/>
      <c r="L60" s="525" t="s">
        <v>286</v>
      </c>
      <c r="M60" s="525">
        <v>101</v>
      </c>
      <c r="N60" s="525">
        <v>70</v>
      </c>
      <c r="O60" s="525">
        <v>94</v>
      </c>
      <c r="P60" s="505">
        <v>129</v>
      </c>
      <c r="Q60" s="504"/>
      <c r="R60" s="525" t="s">
        <v>286</v>
      </c>
      <c r="S60" s="525">
        <v>61</v>
      </c>
      <c r="T60" s="525">
        <v>63</v>
      </c>
      <c r="U60" s="505">
        <v>54</v>
      </c>
      <c r="V60" s="499"/>
      <c r="W60" s="525" t="s">
        <v>286</v>
      </c>
      <c r="X60" s="536">
        <v>48</v>
      </c>
      <c r="Y60" s="536">
        <v>73</v>
      </c>
      <c r="Z60" s="536">
        <v>142</v>
      </c>
      <c r="AA60" s="536">
        <v>209</v>
      </c>
      <c r="AB60" s="536">
        <v>238</v>
      </c>
      <c r="AC60" s="536">
        <v>234</v>
      </c>
      <c r="AD60" s="536">
        <v>64</v>
      </c>
      <c r="AE60" s="536">
        <v>46</v>
      </c>
      <c r="AF60" s="536">
        <v>26</v>
      </c>
      <c r="AG60" s="536">
        <v>10</v>
      </c>
      <c r="AH60" s="537">
        <v>4</v>
      </c>
      <c r="AI60" s="537">
        <v>7</v>
      </c>
      <c r="AJ60" s="1166">
        <v>4</v>
      </c>
    </row>
    <row r="61" spans="1:36">
      <c r="A61" s="498"/>
      <c r="B61" s="504"/>
      <c r="C61" s="525" t="s">
        <v>287</v>
      </c>
      <c r="D61" s="525">
        <v>6042</v>
      </c>
      <c r="E61" s="525">
        <v>7852</v>
      </c>
      <c r="F61" s="525">
        <v>8908</v>
      </c>
      <c r="G61" s="525">
        <v>8180</v>
      </c>
      <c r="H61" s="525" t="s">
        <v>68</v>
      </c>
      <c r="I61" s="525" t="s">
        <v>68</v>
      </c>
      <c r="J61" s="505" t="s">
        <v>68</v>
      </c>
      <c r="K61" s="504"/>
      <c r="L61" s="525" t="s">
        <v>288</v>
      </c>
      <c r="M61" s="525">
        <v>154</v>
      </c>
      <c r="N61" s="525">
        <v>99</v>
      </c>
      <c r="O61" s="525">
        <v>96</v>
      </c>
      <c r="P61" s="505">
        <v>107</v>
      </c>
      <c r="Q61" s="504"/>
      <c r="R61" s="525" t="s">
        <v>288</v>
      </c>
      <c r="S61" s="525">
        <v>83</v>
      </c>
      <c r="T61" s="525">
        <v>74</v>
      </c>
      <c r="U61" s="505">
        <v>60</v>
      </c>
      <c r="V61" s="499"/>
      <c r="W61" s="525" t="s">
        <v>288</v>
      </c>
      <c r="X61" s="536">
        <v>54</v>
      </c>
      <c r="Y61" s="536">
        <v>54</v>
      </c>
      <c r="Z61" s="536">
        <v>95</v>
      </c>
      <c r="AA61" s="536">
        <v>175</v>
      </c>
      <c r="AB61" s="536">
        <v>247</v>
      </c>
      <c r="AC61" s="536">
        <v>222</v>
      </c>
      <c r="AD61" s="536">
        <v>157</v>
      </c>
      <c r="AE61" s="536">
        <v>70</v>
      </c>
      <c r="AF61" s="536">
        <v>38</v>
      </c>
      <c r="AG61" s="536">
        <v>19</v>
      </c>
      <c r="AH61" s="537">
        <v>15</v>
      </c>
      <c r="AI61" s="537">
        <v>9</v>
      </c>
      <c r="AJ61" s="1166">
        <v>15</v>
      </c>
    </row>
    <row r="62" spans="1:36">
      <c r="A62" s="498"/>
      <c r="B62" s="504" t="s">
        <v>289</v>
      </c>
      <c r="C62" s="525" t="s">
        <v>281</v>
      </c>
      <c r="D62" s="525">
        <v>116</v>
      </c>
      <c r="E62" s="525">
        <v>282</v>
      </c>
      <c r="F62" s="525">
        <v>165</v>
      </c>
      <c r="G62" s="525">
        <v>78</v>
      </c>
      <c r="H62" s="525">
        <v>137</v>
      </c>
      <c r="I62" s="525">
        <v>126</v>
      </c>
      <c r="J62" s="505">
        <v>108</v>
      </c>
      <c r="K62" s="504"/>
      <c r="L62" s="525"/>
      <c r="M62" s="525"/>
      <c r="N62" s="525"/>
      <c r="O62" s="525"/>
      <c r="P62" s="505"/>
      <c r="Q62" s="504" t="s">
        <v>289</v>
      </c>
      <c r="R62" s="525"/>
      <c r="S62" s="525" t="s">
        <v>66</v>
      </c>
      <c r="T62" s="525" t="s">
        <v>66</v>
      </c>
      <c r="U62" s="505" t="s">
        <v>66</v>
      </c>
      <c r="V62" s="499" t="s">
        <v>289</v>
      </c>
      <c r="W62" s="525"/>
      <c r="X62" s="536" t="s">
        <v>66</v>
      </c>
      <c r="Y62" s="536" t="s">
        <v>66</v>
      </c>
      <c r="Z62" s="536" t="s">
        <v>66</v>
      </c>
      <c r="AA62" s="536" t="s">
        <v>66</v>
      </c>
      <c r="AB62" s="536" t="s">
        <v>66</v>
      </c>
      <c r="AC62" s="536" t="s">
        <v>66</v>
      </c>
      <c r="AD62" s="536" t="s">
        <v>66</v>
      </c>
      <c r="AE62" s="536" t="s">
        <v>66</v>
      </c>
      <c r="AF62" s="536" t="s">
        <v>66</v>
      </c>
      <c r="AG62" s="536" t="s">
        <v>66</v>
      </c>
      <c r="AH62" s="537" t="s">
        <v>66</v>
      </c>
      <c r="AI62" s="537" t="s">
        <v>66</v>
      </c>
      <c r="AJ62" s="1166" t="s">
        <v>68</v>
      </c>
    </row>
    <row r="63" spans="1:36">
      <c r="A63" s="498"/>
      <c r="B63" s="504"/>
      <c r="C63" s="525" t="s">
        <v>283</v>
      </c>
      <c r="D63" s="525">
        <v>135</v>
      </c>
      <c r="E63" s="525">
        <v>124</v>
      </c>
      <c r="F63" s="525">
        <v>191</v>
      </c>
      <c r="G63" s="525">
        <v>187</v>
      </c>
      <c r="H63" s="525">
        <v>189</v>
      </c>
      <c r="I63" s="525">
        <v>180</v>
      </c>
      <c r="J63" s="505">
        <v>155</v>
      </c>
      <c r="K63" s="504"/>
      <c r="L63" s="525"/>
      <c r="M63" s="525"/>
      <c r="N63" s="525"/>
      <c r="O63" s="525"/>
      <c r="P63" s="505"/>
      <c r="Q63" s="504"/>
      <c r="R63" s="525"/>
      <c r="S63" s="525" t="s">
        <v>66</v>
      </c>
      <c r="T63" s="525" t="s">
        <v>66</v>
      </c>
      <c r="U63" s="505" t="s">
        <v>66</v>
      </c>
      <c r="V63" s="499"/>
      <c r="W63" s="525"/>
      <c r="X63" s="536" t="s">
        <v>66</v>
      </c>
      <c r="Y63" s="536" t="s">
        <v>66</v>
      </c>
      <c r="Z63" s="536" t="s">
        <v>66</v>
      </c>
      <c r="AA63" s="536" t="s">
        <v>66</v>
      </c>
      <c r="AB63" s="536" t="s">
        <v>66</v>
      </c>
      <c r="AC63" s="536" t="s">
        <v>66</v>
      </c>
      <c r="AD63" s="536" t="s">
        <v>66</v>
      </c>
      <c r="AE63" s="536" t="s">
        <v>66</v>
      </c>
      <c r="AF63" s="536" t="s">
        <v>66</v>
      </c>
      <c r="AG63" s="536" t="s">
        <v>66</v>
      </c>
      <c r="AH63" s="537" t="s">
        <v>66</v>
      </c>
      <c r="AI63" s="537" t="s">
        <v>66</v>
      </c>
      <c r="AJ63" s="1166" t="s">
        <v>68</v>
      </c>
    </row>
    <row r="64" spans="1:36">
      <c r="A64" s="498"/>
      <c r="B64" s="504"/>
      <c r="C64" s="525" t="s">
        <v>287</v>
      </c>
      <c r="D64" s="525">
        <v>314</v>
      </c>
      <c r="E64" s="525">
        <v>296</v>
      </c>
      <c r="F64" s="525">
        <v>425</v>
      </c>
      <c r="G64" s="525">
        <v>316</v>
      </c>
      <c r="H64" s="525" t="s">
        <v>68</v>
      </c>
      <c r="I64" s="525" t="s">
        <v>68</v>
      </c>
      <c r="J64" s="505" t="s">
        <v>68</v>
      </c>
      <c r="K64" s="504"/>
      <c r="L64" s="525"/>
      <c r="M64" s="525"/>
      <c r="N64" s="525"/>
      <c r="O64" s="525"/>
      <c r="P64" s="505"/>
      <c r="Q64" s="504"/>
      <c r="R64" s="525"/>
      <c r="S64" s="525" t="s">
        <v>66</v>
      </c>
      <c r="T64" s="525" t="s">
        <v>66</v>
      </c>
      <c r="U64" s="505" t="s">
        <v>66</v>
      </c>
      <c r="V64" s="499"/>
      <c r="W64" s="525"/>
      <c r="X64" s="536" t="s">
        <v>66</v>
      </c>
      <c r="Y64" s="536" t="s">
        <v>66</v>
      </c>
      <c r="Z64" s="536" t="s">
        <v>66</v>
      </c>
      <c r="AA64" s="536" t="s">
        <v>66</v>
      </c>
      <c r="AB64" s="536" t="s">
        <v>66</v>
      </c>
      <c r="AC64" s="536" t="s">
        <v>66</v>
      </c>
      <c r="AD64" s="536" t="s">
        <v>66</v>
      </c>
      <c r="AE64" s="536" t="s">
        <v>66</v>
      </c>
      <c r="AF64" s="536" t="s">
        <v>66</v>
      </c>
      <c r="AG64" s="536" t="s">
        <v>66</v>
      </c>
      <c r="AH64" s="537" t="s">
        <v>66</v>
      </c>
      <c r="AI64" s="537" t="s">
        <v>66</v>
      </c>
      <c r="AJ64" s="1166" t="s">
        <v>68</v>
      </c>
    </row>
    <row r="65" spans="1:36">
      <c r="A65" s="498"/>
      <c r="B65" s="504" t="s">
        <v>290</v>
      </c>
      <c r="C65" s="525" t="s">
        <v>291</v>
      </c>
      <c r="D65" s="525">
        <v>53</v>
      </c>
      <c r="E65" s="525">
        <v>51</v>
      </c>
      <c r="F65" s="525">
        <v>51</v>
      </c>
      <c r="G65" s="525">
        <v>69</v>
      </c>
      <c r="H65" s="525">
        <v>60</v>
      </c>
      <c r="I65" s="525">
        <v>49</v>
      </c>
      <c r="J65" s="505">
        <v>49</v>
      </c>
      <c r="K65" s="504" t="s">
        <v>290</v>
      </c>
      <c r="L65" s="525" t="s">
        <v>291</v>
      </c>
      <c r="M65" s="525">
        <v>60</v>
      </c>
      <c r="N65" s="525">
        <v>66</v>
      </c>
      <c r="O65" s="525">
        <v>47</v>
      </c>
      <c r="P65" s="505">
        <v>64</v>
      </c>
      <c r="Q65" s="504" t="s">
        <v>290</v>
      </c>
      <c r="R65" s="525" t="s">
        <v>291</v>
      </c>
      <c r="S65" s="525">
        <v>51</v>
      </c>
      <c r="T65" s="525">
        <v>79</v>
      </c>
      <c r="U65" s="505">
        <v>179</v>
      </c>
      <c r="V65" s="499" t="s">
        <v>290</v>
      </c>
      <c r="W65" s="525" t="s">
        <v>291</v>
      </c>
      <c r="X65" s="536">
        <v>150</v>
      </c>
      <c r="Y65" s="536">
        <v>136</v>
      </c>
      <c r="Z65" s="536">
        <v>174</v>
      </c>
      <c r="AA65" s="536">
        <v>176</v>
      </c>
      <c r="AB65" s="536">
        <v>132</v>
      </c>
      <c r="AC65" s="536">
        <v>374</v>
      </c>
      <c r="AD65" s="536">
        <v>650</v>
      </c>
      <c r="AE65" s="536">
        <v>515</v>
      </c>
      <c r="AF65" s="536">
        <v>669</v>
      </c>
      <c r="AG65" s="536">
        <v>682</v>
      </c>
      <c r="AH65" s="537">
        <v>684</v>
      </c>
      <c r="AI65" s="537">
        <v>220</v>
      </c>
      <c r="AJ65" s="1166">
        <v>505</v>
      </c>
    </row>
    <row r="66" spans="1:36">
      <c r="A66" s="498"/>
      <c r="B66" s="504"/>
      <c r="C66" s="525" t="s">
        <v>292</v>
      </c>
      <c r="D66" s="525">
        <v>61</v>
      </c>
      <c r="E66" s="525">
        <v>71</v>
      </c>
      <c r="F66" s="525">
        <v>40</v>
      </c>
      <c r="G66" s="525">
        <v>78</v>
      </c>
      <c r="H66" s="525">
        <v>49</v>
      </c>
      <c r="I66" s="525">
        <v>62</v>
      </c>
      <c r="J66" s="505">
        <v>55</v>
      </c>
      <c r="K66" s="504"/>
      <c r="L66" s="525" t="s">
        <v>292</v>
      </c>
      <c r="M66" s="525">
        <v>54</v>
      </c>
      <c r="N66" s="525">
        <v>61</v>
      </c>
      <c r="O66" s="525">
        <v>53</v>
      </c>
      <c r="P66" s="505">
        <v>59</v>
      </c>
      <c r="Q66" s="504"/>
      <c r="R66" s="525" t="s">
        <v>292</v>
      </c>
      <c r="S66" s="525">
        <v>58</v>
      </c>
      <c r="T66" s="525">
        <v>62</v>
      </c>
      <c r="U66" s="505">
        <v>73</v>
      </c>
      <c r="V66" s="499"/>
      <c r="W66" s="525" t="s">
        <v>292</v>
      </c>
      <c r="X66" s="536">
        <v>150</v>
      </c>
      <c r="Y66" s="536">
        <v>111</v>
      </c>
      <c r="Z66" s="536">
        <v>157</v>
      </c>
      <c r="AA66" s="536">
        <v>121</v>
      </c>
      <c r="AB66" s="536">
        <v>254</v>
      </c>
      <c r="AC66" s="536">
        <v>320</v>
      </c>
      <c r="AD66" s="536">
        <v>451</v>
      </c>
      <c r="AE66" s="536">
        <v>471</v>
      </c>
      <c r="AF66" s="536">
        <v>645</v>
      </c>
      <c r="AG66" s="536">
        <v>778</v>
      </c>
      <c r="AH66" s="537">
        <v>716</v>
      </c>
      <c r="AI66" s="537">
        <v>175</v>
      </c>
      <c r="AJ66" s="1166">
        <v>300</v>
      </c>
    </row>
    <row r="67" spans="1:36">
      <c r="A67" s="501"/>
      <c r="B67" s="507"/>
      <c r="C67" s="526" t="s">
        <v>293</v>
      </c>
      <c r="D67" s="526">
        <v>34</v>
      </c>
      <c r="E67" s="526">
        <v>36</v>
      </c>
      <c r="F67" s="526">
        <v>47</v>
      </c>
      <c r="G67" s="526">
        <v>38</v>
      </c>
      <c r="H67" s="526">
        <v>49</v>
      </c>
      <c r="I67" s="526">
        <v>40</v>
      </c>
      <c r="J67" s="509">
        <v>33</v>
      </c>
      <c r="K67" s="507"/>
      <c r="L67" s="526" t="s">
        <v>293</v>
      </c>
      <c r="M67" s="526">
        <v>39</v>
      </c>
      <c r="N67" s="526">
        <v>42</v>
      </c>
      <c r="O67" s="526">
        <v>47</v>
      </c>
      <c r="P67" s="509">
        <v>58</v>
      </c>
      <c r="Q67" s="507"/>
      <c r="R67" s="526" t="s">
        <v>293</v>
      </c>
      <c r="S67" s="526">
        <v>43</v>
      </c>
      <c r="T67" s="526">
        <v>60</v>
      </c>
      <c r="U67" s="509">
        <v>143</v>
      </c>
      <c r="V67" s="502"/>
      <c r="W67" s="526" t="s">
        <v>293</v>
      </c>
      <c r="X67" s="538">
        <v>166</v>
      </c>
      <c r="Y67" s="538">
        <v>197</v>
      </c>
      <c r="Z67" s="538">
        <v>216</v>
      </c>
      <c r="AA67" s="538">
        <v>267</v>
      </c>
      <c r="AB67" s="538">
        <v>158</v>
      </c>
      <c r="AC67" s="538">
        <v>373</v>
      </c>
      <c r="AD67" s="538">
        <v>540</v>
      </c>
      <c r="AE67" s="538">
        <v>606</v>
      </c>
      <c r="AF67" s="538">
        <v>639</v>
      </c>
      <c r="AG67" s="538">
        <v>561</v>
      </c>
      <c r="AH67" s="539">
        <v>535</v>
      </c>
      <c r="AI67" s="539">
        <v>217</v>
      </c>
      <c r="AJ67" s="1167">
        <v>605</v>
      </c>
    </row>
    <row r="68" spans="1:36">
      <c r="AJ68" s="1086"/>
    </row>
  </sheetData>
  <hyperlinks>
    <hyperlink ref="AJ1" location="Content!A1" display="ToC" xr:uid="{EE24AFBC-CCA7-4324-9278-CB37A03554D1}"/>
  </hyperlinks>
  <pageMargins left="0.7" right="0.7" top="0.75" bottom="0.75" header="0.3" footer="0.3"/>
  <pageSetup paperSize="9" orientation="portrait" r:id="rId1"/>
  <ignoredErrors>
    <ignoredError sqref="AJ34:AJ40 AJ46:AJ51 AJ10 AJ2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828FF-C97A-4161-BBA7-12308861D2B5}">
  <dimension ref="A1:AZ86"/>
  <sheetViews>
    <sheetView topLeftCell="A34" zoomScale="85" zoomScaleNormal="85" workbookViewId="0">
      <pane xSplit="2" topLeftCell="AD1" activePane="topRight" state="frozenSplit"/>
      <selection pane="topRight" activeCell="Z68" sqref="Z68"/>
    </sheetView>
  </sheetViews>
  <sheetFormatPr defaultRowHeight="15"/>
  <cols>
    <col min="1" max="1" width="11.7109375" customWidth="1"/>
    <col min="2" max="2" width="23" customWidth="1"/>
    <col min="3" max="12" width="9.7109375" customWidth="1"/>
    <col min="13" max="25" width="10.28515625" customWidth="1"/>
    <col min="26" max="26" width="11.140625" customWidth="1"/>
  </cols>
  <sheetData>
    <row r="1" spans="1:26" ht="21">
      <c r="A1" s="496" t="s">
        <v>32</v>
      </c>
      <c r="Z1" s="888" t="s">
        <v>458</v>
      </c>
    </row>
    <row r="2" spans="1:26" ht="18.75">
      <c r="A2" s="495" t="s">
        <v>294</v>
      </c>
    </row>
    <row r="3" spans="1:26" ht="18.75">
      <c r="A3" s="495" t="s">
        <v>308</v>
      </c>
    </row>
    <row r="5" spans="1:26">
      <c r="A5" t="s">
        <v>295</v>
      </c>
    </row>
    <row r="7" spans="1:26">
      <c r="A7" s="515" t="s">
        <v>53</v>
      </c>
      <c r="B7" s="524" t="s">
        <v>300</v>
      </c>
      <c r="C7" s="524">
        <v>1996</v>
      </c>
      <c r="D7" s="524">
        <v>1997</v>
      </c>
      <c r="E7" s="524">
        <v>1998</v>
      </c>
      <c r="F7" s="524">
        <v>1999</v>
      </c>
      <c r="G7" s="524">
        <v>2000</v>
      </c>
      <c r="H7" s="524">
        <v>2001</v>
      </c>
      <c r="I7" s="524">
        <v>2002</v>
      </c>
      <c r="J7" s="524">
        <v>2003</v>
      </c>
      <c r="K7" s="524">
        <v>2004</v>
      </c>
      <c r="L7" s="524">
        <v>2005</v>
      </c>
      <c r="M7" s="524">
        <v>2006</v>
      </c>
      <c r="N7" s="524">
        <v>2009</v>
      </c>
      <c r="O7" s="524">
        <v>2010</v>
      </c>
      <c r="P7" s="524">
        <v>2011</v>
      </c>
      <c r="Q7" s="524">
        <v>2012</v>
      </c>
      <c r="R7" s="524">
        <v>2013</v>
      </c>
      <c r="S7" s="524">
        <v>2014</v>
      </c>
      <c r="T7" s="524">
        <v>2015</v>
      </c>
      <c r="U7" s="524">
        <v>2016</v>
      </c>
      <c r="V7" s="524">
        <v>2017</v>
      </c>
      <c r="W7" s="524">
        <v>2018</v>
      </c>
      <c r="X7" s="524">
        <v>2019</v>
      </c>
      <c r="Y7" s="517">
        <v>2020</v>
      </c>
      <c r="Z7" s="1187">
        <v>2021</v>
      </c>
    </row>
    <row r="8" spans="1:26">
      <c r="A8" s="498" t="s">
        <v>55</v>
      </c>
      <c r="B8" s="544" t="s">
        <v>296</v>
      </c>
      <c r="C8" s="547">
        <v>181520</v>
      </c>
      <c r="D8" s="547">
        <v>171999</v>
      </c>
      <c r="E8" s="547">
        <v>193428</v>
      </c>
      <c r="F8" s="547">
        <v>205240</v>
      </c>
      <c r="G8" s="547">
        <v>214173</v>
      </c>
      <c r="H8" s="547">
        <v>187579</v>
      </c>
      <c r="I8" s="547">
        <v>186619</v>
      </c>
      <c r="J8" s="547">
        <v>185284</v>
      </c>
      <c r="K8" s="547">
        <v>178220</v>
      </c>
      <c r="L8" s="547">
        <v>181560</v>
      </c>
      <c r="M8" s="547">
        <v>186599</v>
      </c>
      <c r="N8" s="547">
        <v>182361</v>
      </c>
      <c r="O8" s="547">
        <v>170493</v>
      </c>
      <c r="P8" s="547">
        <v>191377</v>
      </c>
      <c r="Q8" s="547">
        <v>196836</v>
      </c>
      <c r="R8" s="547">
        <v>197753</v>
      </c>
      <c r="S8" s="547">
        <v>198496</v>
      </c>
      <c r="T8" s="547">
        <v>193699</v>
      </c>
      <c r="U8" s="547">
        <v>204287</v>
      </c>
      <c r="V8" s="547">
        <v>200312</v>
      </c>
      <c r="W8" s="547">
        <v>197414</v>
      </c>
      <c r="X8" s="547">
        <v>195245</v>
      </c>
      <c r="Y8" s="547">
        <v>185487</v>
      </c>
      <c r="Z8" s="1166">
        <v>181859</v>
      </c>
    </row>
    <row r="9" spans="1:26">
      <c r="A9" s="498"/>
      <c r="B9" s="545" t="s">
        <v>297</v>
      </c>
      <c r="C9" s="548">
        <v>21183</v>
      </c>
      <c r="D9" s="548">
        <v>24112</v>
      </c>
      <c r="E9" s="548">
        <v>26371</v>
      </c>
      <c r="F9" s="548">
        <v>27415</v>
      </c>
      <c r="G9" s="548">
        <v>29428</v>
      </c>
      <c r="H9" s="548">
        <v>29981</v>
      </c>
      <c r="I9" s="548">
        <v>29837</v>
      </c>
      <c r="J9" s="548">
        <v>30428</v>
      </c>
      <c r="K9" s="548">
        <v>32238</v>
      </c>
      <c r="L9" s="548">
        <v>33557</v>
      </c>
      <c r="M9" s="548">
        <v>34438</v>
      </c>
      <c r="N9" s="548">
        <v>34032</v>
      </c>
      <c r="O9" s="548">
        <v>38913</v>
      </c>
      <c r="P9" s="548">
        <v>36378</v>
      </c>
      <c r="Q9" s="548">
        <v>37729</v>
      </c>
      <c r="R9" s="548">
        <v>37830</v>
      </c>
      <c r="S9" s="548">
        <v>38679</v>
      </c>
      <c r="T9" s="548">
        <v>39137</v>
      </c>
      <c r="U9" s="548">
        <v>39136</v>
      </c>
      <c r="V9" s="548">
        <v>40921</v>
      </c>
      <c r="W9" s="548">
        <v>42176</v>
      </c>
      <c r="X9" s="548">
        <v>43496</v>
      </c>
      <c r="Y9" s="548">
        <v>43213</v>
      </c>
      <c r="Z9" s="1166">
        <v>42762</v>
      </c>
    </row>
    <row r="10" spans="1:26">
      <c r="A10" s="498"/>
      <c r="B10" s="545" t="s">
        <v>298</v>
      </c>
      <c r="C10" s="548">
        <v>18994</v>
      </c>
      <c r="D10" s="548">
        <v>22481</v>
      </c>
      <c r="E10" s="548">
        <v>27179</v>
      </c>
      <c r="F10" s="548">
        <v>30557</v>
      </c>
      <c r="G10" s="548">
        <v>36003</v>
      </c>
      <c r="H10" s="548">
        <v>39133</v>
      </c>
      <c r="I10" s="548">
        <v>42512</v>
      </c>
      <c r="J10" s="548">
        <v>43887</v>
      </c>
      <c r="K10" s="548">
        <v>44631</v>
      </c>
      <c r="L10" s="548">
        <v>48035</v>
      </c>
      <c r="M10" s="548">
        <v>50848</v>
      </c>
      <c r="N10" s="548">
        <v>53515</v>
      </c>
      <c r="O10" s="548">
        <v>53940</v>
      </c>
      <c r="P10" s="548">
        <v>55656</v>
      </c>
      <c r="Q10" s="548">
        <v>57500</v>
      </c>
      <c r="R10" s="548">
        <v>57403</v>
      </c>
      <c r="S10" s="548">
        <v>58416</v>
      </c>
      <c r="T10" s="548">
        <v>58653</v>
      </c>
      <c r="U10" s="548">
        <v>59589</v>
      </c>
      <c r="V10" s="548">
        <v>60691</v>
      </c>
      <c r="W10" s="548">
        <v>62046</v>
      </c>
      <c r="X10" s="548">
        <v>61987</v>
      </c>
      <c r="Y10" s="548">
        <v>61814</v>
      </c>
      <c r="Z10" s="1166">
        <v>61232</v>
      </c>
    </row>
    <row r="11" spans="1:26">
      <c r="A11" s="501"/>
      <c r="B11" s="546" t="s">
        <v>166</v>
      </c>
      <c r="C11" s="549">
        <f>SUM(C8:C10)</f>
        <v>221697</v>
      </c>
      <c r="D11" s="549">
        <f t="shared" ref="D11:X11" si="0">SUM(D8:D10)</f>
        <v>218592</v>
      </c>
      <c r="E11" s="549">
        <f t="shared" si="0"/>
        <v>246978</v>
      </c>
      <c r="F11" s="549">
        <f t="shared" si="0"/>
        <v>263212</v>
      </c>
      <c r="G11" s="549">
        <f t="shared" si="0"/>
        <v>279604</v>
      </c>
      <c r="H11" s="549">
        <f t="shared" si="0"/>
        <v>256693</v>
      </c>
      <c r="I11" s="549">
        <f t="shared" si="0"/>
        <v>258968</v>
      </c>
      <c r="J11" s="549">
        <f t="shared" si="0"/>
        <v>259599</v>
      </c>
      <c r="K11" s="549">
        <f t="shared" si="0"/>
        <v>255089</v>
      </c>
      <c r="L11" s="549">
        <f t="shared" si="0"/>
        <v>263152</v>
      </c>
      <c r="M11" s="549">
        <f t="shared" si="0"/>
        <v>271885</v>
      </c>
      <c r="N11" s="549">
        <f t="shared" si="0"/>
        <v>269908</v>
      </c>
      <c r="O11" s="549">
        <f t="shared" si="0"/>
        <v>263346</v>
      </c>
      <c r="P11" s="549">
        <f t="shared" si="0"/>
        <v>283411</v>
      </c>
      <c r="Q11" s="549">
        <f t="shared" si="0"/>
        <v>292065</v>
      </c>
      <c r="R11" s="549">
        <f t="shared" si="0"/>
        <v>292986</v>
      </c>
      <c r="S11" s="549">
        <f t="shared" si="0"/>
        <v>295591</v>
      </c>
      <c r="T11" s="549">
        <f t="shared" si="0"/>
        <v>291489</v>
      </c>
      <c r="U11" s="549">
        <f t="shared" si="0"/>
        <v>303012</v>
      </c>
      <c r="V11" s="549">
        <f t="shared" si="0"/>
        <v>301924</v>
      </c>
      <c r="W11" s="549">
        <f t="shared" si="0"/>
        <v>301636</v>
      </c>
      <c r="X11" s="549">
        <f t="shared" si="0"/>
        <v>300728</v>
      </c>
      <c r="Y11" s="549">
        <v>290514</v>
      </c>
      <c r="Z11" s="1167">
        <f>SUM(Z8:Z10)</f>
        <v>285853</v>
      </c>
    </row>
    <row r="12" spans="1:26">
      <c r="A12" s="498" t="s">
        <v>56</v>
      </c>
      <c r="B12" s="544" t="s">
        <v>296</v>
      </c>
      <c r="C12" s="547">
        <v>403657</v>
      </c>
      <c r="D12" s="547">
        <v>407626</v>
      </c>
      <c r="E12" s="547">
        <v>431224</v>
      </c>
      <c r="F12" s="547">
        <v>427935</v>
      </c>
      <c r="G12" s="547">
        <v>464930</v>
      </c>
      <c r="H12" s="547">
        <v>468251</v>
      </c>
      <c r="I12" s="547">
        <v>446296</v>
      </c>
      <c r="J12" s="547">
        <v>445707</v>
      </c>
      <c r="K12" s="547">
        <v>452904</v>
      </c>
      <c r="L12" s="547">
        <v>459533</v>
      </c>
      <c r="M12" s="547">
        <v>438310</v>
      </c>
      <c r="N12" s="547">
        <v>374216</v>
      </c>
      <c r="O12" s="547">
        <v>364531</v>
      </c>
      <c r="P12" s="547">
        <v>369055</v>
      </c>
      <c r="Q12" s="547">
        <v>365967</v>
      </c>
      <c r="R12" s="547">
        <v>342331</v>
      </c>
      <c r="S12" s="547">
        <v>333709</v>
      </c>
      <c r="T12" s="547">
        <v>328351</v>
      </c>
      <c r="U12" s="547">
        <v>327333</v>
      </c>
      <c r="V12" s="547">
        <v>323441</v>
      </c>
      <c r="W12" s="547">
        <v>319395</v>
      </c>
      <c r="X12" s="547">
        <v>307831</v>
      </c>
      <c r="Y12" s="547">
        <v>281631</v>
      </c>
      <c r="Z12" s="1108">
        <v>269576</v>
      </c>
    </row>
    <row r="13" spans="1:26">
      <c r="A13" s="498"/>
      <c r="B13" s="545" t="s">
        <v>297</v>
      </c>
      <c r="C13" s="548">
        <v>9667</v>
      </c>
      <c r="D13" s="548">
        <v>10543</v>
      </c>
      <c r="E13" s="548">
        <v>10821</v>
      </c>
      <c r="F13" s="548">
        <v>11050</v>
      </c>
      <c r="G13" s="548">
        <v>12564</v>
      </c>
      <c r="H13" s="548">
        <v>14166</v>
      </c>
      <c r="I13" s="548">
        <v>11796</v>
      </c>
      <c r="J13" s="548">
        <v>11125</v>
      </c>
      <c r="K13" s="548">
        <v>12002</v>
      </c>
      <c r="L13" s="548">
        <v>11678</v>
      </c>
      <c r="M13" s="548">
        <v>10951</v>
      </c>
      <c r="N13" s="548">
        <v>8502</v>
      </c>
      <c r="O13" s="548">
        <v>9743</v>
      </c>
      <c r="P13" s="548">
        <v>8524</v>
      </c>
      <c r="Q13" s="548">
        <v>8531</v>
      </c>
      <c r="R13" s="548">
        <v>7445</v>
      </c>
      <c r="S13" s="548">
        <v>6778</v>
      </c>
      <c r="T13" s="548">
        <v>6518</v>
      </c>
      <c r="U13" s="548">
        <v>6551</v>
      </c>
      <c r="V13" s="548">
        <v>6771</v>
      </c>
      <c r="W13" s="548">
        <v>7012</v>
      </c>
      <c r="X13" s="548">
        <v>6707</v>
      </c>
      <c r="Y13" s="548">
        <v>6097</v>
      </c>
      <c r="Z13" s="1166">
        <v>5743</v>
      </c>
    </row>
    <row r="14" spans="1:26">
      <c r="A14" s="498"/>
      <c r="B14" s="545" t="s">
        <v>298</v>
      </c>
      <c r="C14" s="548">
        <v>3861</v>
      </c>
      <c r="D14" s="548">
        <v>4845</v>
      </c>
      <c r="E14" s="548">
        <v>6098</v>
      </c>
      <c r="F14" s="548">
        <v>7473</v>
      </c>
      <c r="G14" s="548">
        <v>9567</v>
      </c>
      <c r="H14" s="548">
        <v>11687</v>
      </c>
      <c r="I14" s="548">
        <v>14063</v>
      </c>
      <c r="J14" s="548">
        <v>17414</v>
      </c>
      <c r="K14" s="548">
        <v>20264</v>
      </c>
      <c r="L14" s="548">
        <v>24868</v>
      </c>
      <c r="M14" s="548">
        <v>27024</v>
      </c>
      <c r="N14" s="548">
        <v>29802</v>
      </c>
      <c r="O14" s="548">
        <v>32150</v>
      </c>
      <c r="P14" s="548">
        <v>38875</v>
      </c>
      <c r="Q14" s="548">
        <v>43523</v>
      </c>
      <c r="R14" s="548">
        <v>43911</v>
      </c>
      <c r="S14" s="548">
        <v>42380</v>
      </c>
      <c r="T14" s="548">
        <v>44051</v>
      </c>
      <c r="U14" s="548">
        <v>45209</v>
      </c>
      <c r="V14" s="548">
        <v>48206</v>
      </c>
      <c r="W14" s="548">
        <v>49704</v>
      </c>
      <c r="X14" s="548">
        <v>52702</v>
      </c>
      <c r="Y14" s="548">
        <v>50581</v>
      </c>
      <c r="Z14" s="1166">
        <v>50355</v>
      </c>
    </row>
    <row r="15" spans="1:26">
      <c r="A15" s="501"/>
      <c r="B15" s="546" t="s">
        <v>166</v>
      </c>
      <c r="C15" s="549">
        <f>SUM(C12:C14)</f>
        <v>417185</v>
      </c>
      <c r="D15" s="549">
        <f t="shared" ref="D15" si="1">SUM(D12:D14)</f>
        <v>423014</v>
      </c>
      <c r="E15" s="549">
        <f t="shared" ref="E15" si="2">SUM(E12:E14)</f>
        <v>448143</v>
      </c>
      <c r="F15" s="549">
        <f t="shared" ref="F15" si="3">SUM(F12:F14)</f>
        <v>446458</v>
      </c>
      <c r="G15" s="549">
        <f t="shared" ref="G15" si="4">SUM(G12:G14)</f>
        <v>487061</v>
      </c>
      <c r="H15" s="549">
        <f t="shared" ref="H15" si="5">SUM(H12:H14)</f>
        <v>494104</v>
      </c>
      <c r="I15" s="549">
        <f t="shared" ref="I15" si="6">SUM(I12:I14)</f>
        <v>472155</v>
      </c>
      <c r="J15" s="549">
        <f t="shared" ref="J15" si="7">SUM(J12:J14)</f>
        <v>474246</v>
      </c>
      <c r="K15" s="549">
        <f t="shared" ref="K15" si="8">SUM(K12:K14)</f>
        <v>485170</v>
      </c>
      <c r="L15" s="549">
        <f t="shared" ref="L15" si="9">SUM(L12:L14)</f>
        <v>496079</v>
      </c>
      <c r="M15" s="549">
        <f t="shared" ref="M15" si="10">SUM(M12:M14)</f>
        <v>476285</v>
      </c>
      <c r="N15" s="549">
        <f t="shared" ref="N15" si="11">SUM(N12:N14)</f>
        <v>412520</v>
      </c>
      <c r="O15" s="549">
        <f t="shared" ref="O15" si="12">SUM(O12:O14)</f>
        <v>406424</v>
      </c>
      <c r="P15" s="549">
        <f t="shared" ref="P15" si="13">SUM(P12:P14)</f>
        <v>416454</v>
      </c>
      <c r="Q15" s="549">
        <f t="shared" ref="Q15" si="14">SUM(Q12:Q14)</f>
        <v>418021</v>
      </c>
      <c r="R15" s="549">
        <f t="shared" ref="R15" si="15">SUM(R12:R14)</f>
        <v>393687</v>
      </c>
      <c r="S15" s="549">
        <f t="shared" ref="S15" si="16">SUM(S12:S14)</f>
        <v>382867</v>
      </c>
      <c r="T15" s="549">
        <f t="shared" ref="T15" si="17">SUM(T12:T14)</f>
        <v>378920</v>
      </c>
      <c r="U15" s="549">
        <f t="shared" ref="U15" si="18">SUM(U12:U14)</f>
        <v>379093</v>
      </c>
      <c r="V15" s="549">
        <f t="shared" ref="V15" si="19">SUM(V12:V14)</f>
        <v>378418</v>
      </c>
      <c r="W15" s="549">
        <f t="shared" ref="W15" si="20">SUM(W12:W14)</f>
        <v>376111</v>
      </c>
      <c r="X15" s="549">
        <f t="shared" ref="X15" si="21">SUM(X12:X14)</f>
        <v>367240</v>
      </c>
      <c r="Y15" s="549">
        <v>338309</v>
      </c>
      <c r="Z15" s="1167">
        <f>SUM(Z12:Z14)</f>
        <v>325674</v>
      </c>
    </row>
    <row r="16" spans="1:26">
      <c r="A16" s="498" t="s">
        <v>57</v>
      </c>
      <c r="B16" s="544" t="s">
        <v>296</v>
      </c>
      <c r="C16" s="558"/>
      <c r="D16" s="558"/>
      <c r="E16" s="558"/>
      <c r="F16" s="558"/>
      <c r="G16" s="558"/>
      <c r="H16" s="558"/>
      <c r="I16" s="558"/>
      <c r="J16" s="547">
        <v>109172</v>
      </c>
      <c r="K16" s="547">
        <v>129559</v>
      </c>
      <c r="L16" s="547">
        <v>152831</v>
      </c>
      <c r="M16" s="547">
        <v>161402</v>
      </c>
      <c r="N16" s="547">
        <v>155243</v>
      </c>
      <c r="O16" s="547">
        <v>162153</v>
      </c>
      <c r="P16" s="547">
        <v>170634</v>
      </c>
      <c r="Q16" s="547">
        <v>183451</v>
      </c>
      <c r="R16" s="547">
        <v>200599</v>
      </c>
      <c r="S16" s="547">
        <v>205900</v>
      </c>
      <c r="T16" s="547">
        <v>211241</v>
      </c>
      <c r="U16" s="547">
        <v>205135</v>
      </c>
      <c r="V16" s="547">
        <v>197540</v>
      </c>
      <c r="W16" s="547">
        <v>200230</v>
      </c>
      <c r="X16" s="547">
        <v>211631</v>
      </c>
      <c r="Y16" s="547">
        <v>222272</v>
      </c>
      <c r="Z16" s="1108">
        <v>227049</v>
      </c>
    </row>
    <row r="17" spans="1:26">
      <c r="A17" s="498"/>
      <c r="B17" s="545" t="s">
        <v>297</v>
      </c>
      <c r="C17" s="557"/>
      <c r="D17" s="557"/>
      <c r="E17" s="557"/>
      <c r="F17" s="557"/>
      <c r="G17" s="557"/>
      <c r="H17" s="557"/>
      <c r="I17" s="557"/>
      <c r="J17" s="548">
        <v>1473</v>
      </c>
      <c r="K17" s="548">
        <v>2176</v>
      </c>
      <c r="L17" s="548">
        <v>2984</v>
      </c>
      <c r="M17" s="548">
        <v>3374</v>
      </c>
      <c r="N17" s="548">
        <v>2184</v>
      </c>
      <c r="O17" s="548">
        <v>2675</v>
      </c>
      <c r="P17" s="548">
        <v>2807</v>
      </c>
      <c r="Q17" s="548">
        <v>2954</v>
      </c>
      <c r="R17" s="548">
        <v>3626</v>
      </c>
      <c r="S17" s="548">
        <v>3413</v>
      </c>
      <c r="T17" s="548">
        <v>3568</v>
      </c>
      <c r="U17" s="548">
        <v>3238</v>
      </c>
      <c r="V17" s="548">
        <v>2806</v>
      </c>
      <c r="W17" s="548">
        <v>2748</v>
      </c>
      <c r="X17" s="548">
        <v>3316</v>
      </c>
      <c r="Y17" s="548">
        <v>3700</v>
      </c>
      <c r="Z17" s="1166">
        <v>3541</v>
      </c>
    </row>
    <row r="18" spans="1:26">
      <c r="A18" s="498"/>
      <c r="B18" s="545" t="s">
        <v>298</v>
      </c>
      <c r="C18" s="557"/>
      <c r="D18" s="557"/>
      <c r="E18" s="557"/>
      <c r="F18" s="557"/>
      <c r="G18" s="557"/>
      <c r="H18" s="557"/>
      <c r="I18" s="557"/>
      <c r="J18" s="548">
        <v>2949</v>
      </c>
      <c r="K18" s="548">
        <v>3558</v>
      </c>
      <c r="L18" s="548">
        <v>4689</v>
      </c>
      <c r="M18" s="548">
        <v>5946</v>
      </c>
      <c r="N18" s="548">
        <v>8035</v>
      </c>
      <c r="O18" s="548">
        <v>9669</v>
      </c>
      <c r="P18" s="548">
        <v>10447</v>
      </c>
      <c r="Q18" s="548">
        <v>11787</v>
      </c>
      <c r="R18" s="548">
        <v>12383</v>
      </c>
      <c r="S18" s="548">
        <v>13118</v>
      </c>
      <c r="T18" s="548">
        <v>14565</v>
      </c>
      <c r="U18" s="548">
        <v>15555</v>
      </c>
      <c r="V18" s="548">
        <v>15751</v>
      </c>
      <c r="W18" s="548">
        <v>16918</v>
      </c>
      <c r="X18" s="548">
        <v>19074</v>
      </c>
      <c r="Y18" s="548">
        <v>20044</v>
      </c>
      <c r="Z18" s="1166">
        <v>22024</v>
      </c>
    </row>
    <row r="19" spans="1:26">
      <c r="A19" s="501"/>
      <c r="B19" s="546" t="s">
        <v>166</v>
      </c>
      <c r="C19" s="559"/>
      <c r="D19" s="559"/>
      <c r="E19" s="559"/>
      <c r="F19" s="559"/>
      <c r="G19" s="559"/>
      <c r="H19" s="559"/>
      <c r="I19" s="559"/>
      <c r="J19" s="549">
        <f t="shared" ref="J19" si="22">SUM(J16:J18)</f>
        <v>113594</v>
      </c>
      <c r="K19" s="549">
        <f t="shared" ref="K19" si="23">SUM(K16:K18)</f>
        <v>135293</v>
      </c>
      <c r="L19" s="549">
        <f t="shared" ref="L19" si="24">SUM(L16:L18)</f>
        <v>160504</v>
      </c>
      <c r="M19" s="549">
        <f t="shared" ref="M19" si="25">SUM(M16:M18)</f>
        <v>170722</v>
      </c>
      <c r="N19" s="549">
        <f t="shared" ref="N19" si="26">SUM(N16:N18)</f>
        <v>165462</v>
      </c>
      <c r="O19" s="549">
        <f t="shared" ref="O19" si="27">SUM(O16:O18)</f>
        <v>174497</v>
      </c>
      <c r="P19" s="549">
        <f t="shared" ref="P19" si="28">SUM(P16:P18)</f>
        <v>183888</v>
      </c>
      <c r="Q19" s="549">
        <f t="shared" ref="Q19" si="29">SUM(Q16:Q18)</f>
        <v>198192</v>
      </c>
      <c r="R19" s="549">
        <f t="shared" ref="R19" si="30">SUM(R16:R18)</f>
        <v>216608</v>
      </c>
      <c r="S19" s="549">
        <f t="shared" ref="S19" si="31">SUM(S16:S18)</f>
        <v>222431</v>
      </c>
      <c r="T19" s="549">
        <f t="shared" ref="T19" si="32">SUM(T16:T18)</f>
        <v>229374</v>
      </c>
      <c r="U19" s="549">
        <f t="shared" ref="U19" si="33">SUM(U16:U18)</f>
        <v>223928</v>
      </c>
      <c r="V19" s="549">
        <f t="shared" ref="V19" si="34">SUM(V16:V18)</f>
        <v>216097</v>
      </c>
      <c r="W19" s="549">
        <f t="shared" ref="W19" si="35">SUM(W16:W18)</f>
        <v>219896</v>
      </c>
      <c r="X19" s="549">
        <f t="shared" ref="X19" si="36">SUM(X16:X18)</f>
        <v>234021</v>
      </c>
      <c r="Y19" s="549">
        <v>246016</v>
      </c>
      <c r="Z19" s="1167">
        <f>SUM(Z16:Z18)</f>
        <v>252614</v>
      </c>
    </row>
    <row r="20" spans="1:26">
      <c r="A20" s="498" t="s">
        <v>58</v>
      </c>
      <c r="B20" s="544" t="s">
        <v>296</v>
      </c>
      <c r="C20" s="558"/>
      <c r="D20" s="558"/>
      <c r="E20" s="558"/>
      <c r="F20" s="558"/>
      <c r="G20" s="558"/>
      <c r="H20" s="558"/>
      <c r="I20" s="558"/>
      <c r="J20" s="558"/>
      <c r="K20" s="558"/>
      <c r="L20" s="558"/>
      <c r="M20" s="547">
        <v>126243</v>
      </c>
      <c r="N20" s="547">
        <v>235708</v>
      </c>
      <c r="O20" s="547">
        <v>299743</v>
      </c>
      <c r="P20" s="547">
        <v>422348</v>
      </c>
      <c r="Q20" s="547">
        <v>543464</v>
      </c>
      <c r="R20" s="547">
        <v>714309</v>
      </c>
      <c r="S20" s="547">
        <v>812614</v>
      </c>
      <c r="T20" s="547">
        <v>980963</v>
      </c>
      <c r="U20" s="547">
        <v>1220648</v>
      </c>
      <c r="V20" s="547">
        <v>1267639</v>
      </c>
      <c r="W20" s="547">
        <v>1420896</v>
      </c>
      <c r="X20" s="547">
        <v>1274751</v>
      </c>
      <c r="Y20" s="547">
        <v>1385321</v>
      </c>
      <c r="Z20" s="1108">
        <v>1472050</v>
      </c>
    </row>
    <row r="21" spans="1:26">
      <c r="A21" s="498"/>
      <c r="B21" s="545" t="s">
        <v>297</v>
      </c>
      <c r="C21" s="557"/>
      <c r="D21" s="557"/>
      <c r="E21" s="557"/>
      <c r="F21" s="557"/>
      <c r="G21" s="557"/>
      <c r="H21" s="557"/>
      <c r="I21" s="557"/>
      <c r="J21" s="557"/>
      <c r="K21" s="557"/>
      <c r="L21" s="557"/>
      <c r="M21" s="548">
        <v>284</v>
      </c>
      <c r="N21" s="548">
        <v>385</v>
      </c>
      <c r="O21" s="548">
        <v>468</v>
      </c>
      <c r="P21" s="548">
        <v>543</v>
      </c>
      <c r="Q21" s="548">
        <v>583</v>
      </c>
      <c r="R21" s="548">
        <v>886</v>
      </c>
      <c r="S21" s="548">
        <v>971</v>
      </c>
      <c r="T21" s="548">
        <v>1081</v>
      </c>
      <c r="U21" s="548">
        <v>1697</v>
      </c>
      <c r="V21" s="548">
        <v>2014</v>
      </c>
      <c r="W21" s="548">
        <v>2369</v>
      </c>
      <c r="X21" s="548">
        <v>2701</v>
      </c>
      <c r="Y21" s="548">
        <v>2740</v>
      </c>
      <c r="Z21" s="1166">
        <v>3480</v>
      </c>
    </row>
    <row r="22" spans="1:26">
      <c r="A22" s="498"/>
      <c r="B22" s="545" t="s">
        <v>298</v>
      </c>
      <c r="C22" s="557"/>
      <c r="D22" s="557"/>
      <c r="E22" s="557"/>
      <c r="F22" s="557"/>
      <c r="G22" s="557"/>
      <c r="H22" s="557"/>
      <c r="I22" s="557"/>
      <c r="J22" s="557"/>
      <c r="K22" s="557"/>
      <c r="L22" s="557"/>
      <c r="M22" s="548">
        <v>3927</v>
      </c>
      <c r="N22" s="548">
        <v>7900</v>
      </c>
      <c r="O22" s="548">
        <v>12296</v>
      </c>
      <c r="P22" s="548">
        <v>16402</v>
      </c>
      <c r="Q22" s="548">
        <v>18620</v>
      </c>
      <c r="R22" s="548">
        <v>21449</v>
      </c>
      <c r="S22" s="548">
        <v>25537</v>
      </c>
      <c r="T22" s="548">
        <v>29810</v>
      </c>
      <c r="U22" s="548">
        <v>43091</v>
      </c>
      <c r="V22" s="548">
        <v>48903</v>
      </c>
      <c r="W22" s="548">
        <v>53360</v>
      </c>
      <c r="X22" s="548">
        <v>59174</v>
      </c>
      <c r="Y22" s="548">
        <v>68926</v>
      </c>
      <c r="Z22" s="1166">
        <v>69997</v>
      </c>
    </row>
    <row r="23" spans="1:26">
      <c r="A23" s="501"/>
      <c r="B23" s="546" t="s">
        <v>166</v>
      </c>
      <c r="C23" s="559"/>
      <c r="D23" s="559"/>
      <c r="E23" s="559"/>
      <c r="F23" s="559"/>
      <c r="G23" s="559"/>
      <c r="H23" s="559"/>
      <c r="I23" s="559"/>
      <c r="J23" s="559"/>
      <c r="K23" s="559"/>
      <c r="L23" s="559"/>
      <c r="M23" s="549">
        <f t="shared" ref="M23" si="37">SUM(M20:M22)</f>
        <v>130454</v>
      </c>
      <c r="N23" s="549">
        <f t="shared" ref="N23" si="38">SUM(N20:N22)</f>
        <v>243993</v>
      </c>
      <c r="O23" s="549">
        <f t="shared" ref="O23" si="39">SUM(O20:O22)</f>
        <v>312507</v>
      </c>
      <c r="P23" s="549">
        <f t="shared" ref="P23" si="40">SUM(P20:P22)</f>
        <v>439293</v>
      </c>
      <c r="Q23" s="549">
        <f t="shared" ref="Q23" si="41">SUM(Q20:Q22)</f>
        <v>562667</v>
      </c>
      <c r="R23" s="549">
        <f t="shared" ref="R23" si="42">SUM(R20:R22)</f>
        <v>736644</v>
      </c>
      <c r="S23" s="549">
        <f t="shared" ref="S23" si="43">SUM(S20:S22)</f>
        <v>839122</v>
      </c>
      <c r="T23" s="549">
        <f t="shared" ref="T23" si="44">SUM(T20:T22)</f>
        <v>1011854</v>
      </c>
      <c r="U23" s="549">
        <f t="shared" ref="U23" si="45">SUM(U20:U22)</f>
        <v>1265436</v>
      </c>
      <c r="V23" s="549">
        <f t="shared" ref="V23" si="46">SUM(V20:V22)</f>
        <v>1318556</v>
      </c>
      <c r="W23" s="549">
        <f t="shared" ref="W23" si="47">SUM(W20:W22)</f>
        <v>1476625</v>
      </c>
      <c r="X23" s="549">
        <f t="shared" ref="X23" si="48">SUM(X20:X22)</f>
        <v>1336626</v>
      </c>
      <c r="Y23" s="549">
        <v>1456987</v>
      </c>
      <c r="Z23" s="1167">
        <f>SUM(Z20:Z22)</f>
        <v>1545527</v>
      </c>
    </row>
    <row r="24" spans="1:26">
      <c r="A24" s="498" t="s">
        <v>59</v>
      </c>
      <c r="B24" s="544" t="s">
        <v>296</v>
      </c>
      <c r="C24" s="547">
        <v>153381</v>
      </c>
      <c r="D24" s="547">
        <v>160820</v>
      </c>
      <c r="E24" s="547">
        <v>191642</v>
      </c>
      <c r="F24" s="547">
        <v>204651</v>
      </c>
      <c r="G24" s="547">
        <v>224593</v>
      </c>
      <c r="H24" s="547">
        <v>219578</v>
      </c>
      <c r="I24" s="547">
        <v>217922</v>
      </c>
      <c r="J24" s="547">
        <v>226360</v>
      </c>
      <c r="K24" s="547">
        <v>218093</v>
      </c>
      <c r="L24" s="547">
        <v>244769</v>
      </c>
      <c r="M24" s="547">
        <v>255357</v>
      </c>
      <c r="N24" s="547">
        <v>247532</v>
      </c>
      <c r="O24" s="547">
        <v>266278</v>
      </c>
      <c r="P24" s="547">
        <v>279253</v>
      </c>
      <c r="Q24" s="547">
        <v>302888</v>
      </c>
      <c r="R24" s="547">
        <v>319524</v>
      </c>
      <c r="S24" s="547">
        <v>315553</v>
      </c>
      <c r="T24" s="547">
        <v>315819</v>
      </c>
      <c r="U24" s="547">
        <v>324960</v>
      </c>
      <c r="V24" s="547">
        <v>316227</v>
      </c>
      <c r="W24" s="547">
        <v>305802</v>
      </c>
      <c r="X24" s="547">
        <v>303655</v>
      </c>
      <c r="Y24" s="547">
        <v>284789</v>
      </c>
      <c r="Z24" s="1108">
        <v>282583</v>
      </c>
    </row>
    <row r="25" spans="1:26">
      <c r="A25" s="498"/>
      <c r="B25" s="545" t="s">
        <v>297</v>
      </c>
      <c r="C25" s="548">
        <v>9350</v>
      </c>
      <c r="D25" s="548">
        <v>9584</v>
      </c>
      <c r="E25" s="548">
        <v>10542</v>
      </c>
      <c r="F25" s="548">
        <v>10232</v>
      </c>
      <c r="G25" s="548">
        <v>10757</v>
      </c>
      <c r="H25" s="548">
        <v>10683</v>
      </c>
      <c r="I25" s="548">
        <v>9673</v>
      </c>
      <c r="J25" s="548">
        <v>10466</v>
      </c>
      <c r="K25" s="548">
        <v>10155</v>
      </c>
      <c r="L25" s="548">
        <v>10465</v>
      </c>
      <c r="M25" s="548">
        <v>9756</v>
      </c>
      <c r="N25" s="548">
        <v>8358</v>
      </c>
      <c r="O25" s="548">
        <v>15861</v>
      </c>
      <c r="P25" s="548">
        <v>11130</v>
      </c>
      <c r="Q25" s="548">
        <v>12676</v>
      </c>
      <c r="R25" s="548">
        <v>10832</v>
      </c>
      <c r="S25" s="548">
        <v>10437</v>
      </c>
      <c r="T25" s="548">
        <v>10600</v>
      </c>
      <c r="U25" s="548">
        <v>12793</v>
      </c>
      <c r="V25" s="548">
        <v>13863</v>
      </c>
      <c r="W25" s="548">
        <v>15549</v>
      </c>
      <c r="X25" s="548">
        <v>17319</v>
      </c>
      <c r="Y25" s="548">
        <v>15584</v>
      </c>
      <c r="Z25" s="1166">
        <v>14543</v>
      </c>
    </row>
    <row r="26" spans="1:26">
      <c r="A26" s="498"/>
      <c r="B26" s="545" t="s">
        <v>298</v>
      </c>
      <c r="C26" s="548">
        <v>20828</v>
      </c>
      <c r="D26" s="548">
        <v>22736</v>
      </c>
      <c r="E26" s="548">
        <v>28356</v>
      </c>
      <c r="F26" s="548">
        <v>31255</v>
      </c>
      <c r="G26" s="548">
        <v>38007</v>
      </c>
      <c r="H26" s="548">
        <v>43214</v>
      </c>
      <c r="I26" s="548">
        <v>41296</v>
      </c>
      <c r="J26" s="548">
        <v>41033</v>
      </c>
      <c r="K26" s="548">
        <v>43352</v>
      </c>
      <c r="L26" s="548">
        <v>46830</v>
      </c>
      <c r="M26" s="548">
        <v>51248</v>
      </c>
      <c r="N26" s="548">
        <v>45620</v>
      </c>
      <c r="O26" s="548">
        <v>45030</v>
      </c>
      <c r="P26" s="548">
        <v>49105</v>
      </c>
      <c r="Q26" s="548">
        <v>51854</v>
      </c>
      <c r="R26" s="548">
        <v>56835</v>
      </c>
      <c r="S26" s="548">
        <v>61297</v>
      </c>
      <c r="T26" s="548">
        <v>56929</v>
      </c>
      <c r="U26" s="548">
        <v>56592</v>
      </c>
      <c r="V26" s="548">
        <v>56683</v>
      </c>
      <c r="W26" s="548">
        <v>56249</v>
      </c>
      <c r="X26" s="548">
        <v>57471</v>
      </c>
      <c r="Y26" s="548">
        <v>58468</v>
      </c>
      <c r="Z26" s="1166">
        <v>58701</v>
      </c>
    </row>
    <row r="27" spans="1:26">
      <c r="A27" s="501"/>
      <c r="B27" s="546" t="s">
        <v>166</v>
      </c>
      <c r="C27" s="549">
        <f>SUM(C24:C26)</f>
        <v>183559</v>
      </c>
      <c r="D27" s="549">
        <f t="shared" ref="D27" si="49">SUM(D24:D26)</f>
        <v>193140</v>
      </c>
      <c r="E27" s="549">
        <f t="shared" ref="E27" si="50">SUM(E24:E26)</f>
        <v>230540</v>
      </c>
      <c r="F27" s="549">
        <f t="shared" ref="F27" si="51">SUM(F24:F26)</f>
        <v>246138</v>
      </c>
      <c r="G27" s="549">
        <f t="shared" ref="G27" si="52">SUM(G24:G26)</f>
        <v>273357</v>
      </c>
      <c r="H27" s="549">
        <f t="shared" ref="H27" si="53">SUM(H24:H26)</f>
        <v>273475</v>
      </c>
      <c r="I27" s="549">
        <f t="shared" ref="I27" si="54">SUM(I24:I26)</f>
        <v>268891</v>
      </c>
      <c r="J27" s="549">
        <f t="shared" ref="J27" si="55">SUM(J24:J26)</f>
        <v>277859</v>
      </c>
      <c r="K27" s="549">
        <f t="shared" ref="K27" si="56">SUM(K24:K26)</f>
        <v>271600</v>
      </c>
      <c r="L27" s="549">
        <f t="shared" ref="L27" si="57">SUM(L24:L26)</f>
        <v>302064</v>
      </c>
      <c r="M27" s="549">
        <f t="shared" ref="M27" si="58">SUM(M24:M26)</f>
        <v>316361</v>
      </c>
      <c r="N27" s="549">
        <f t="shared" ref="N27" si="59">SUM(N24:N26)</f>
        <v>301510</v>
      </c>
      <c r="O27" s="549">
        <f t="shared" ref="O27" si="60">SUM(O24:O26)</f>
        <v>327169</v>
      </c>
      <c r="P27" s="549">
        <f t="shared" ref="P27" si="61">SUM(P24:P26)</f>
        <v>339488</v>
      </c>
      <c r="Q27" s="549">
        <f t="shared" ref="Q27" si="62">SUM(Q24:Q26)</f>
        <v>367418</v>
      </c>
      <c r="R27" s="549">
        <f t="shared" ref="R27" si="63">SUM(R24:R26)</f>
        <v>387191</v>
      </c>
      <c r="S27" s="549">
        <f t="shared" ref="S27" si="64">SUM(S24:S26)</f>
        <v>387287</v>
      </c>
      <c r="T27" s="549">
        <f t="shared" ref="T27" si="65">SUM(T24:T26)</f>
        <v>383348</v>
      </c>
      <c r="U27" s="549">
        <f t="shared" ref="U27" si="66">SUM(U24:U26)</f>
        <v>394345</v>
      </c>
      <c r="V27" s="549">
        <f t="shared" ref="V27" si="67">SUM(V24:V26)</f>
        <v>386773</v>
      </c>
      <c r="W27" s="549">
        <f t="shared" ref="W27" si="68">SUM(W24:W26)</f>
        <v>377600</v>
      </c>
      <c r="X27" s="549">
        <f t="shared" ref="X27" si="69">SUM(X24:X26)</f>
        <v>378445</v>
      </c>
      <c r="Y27" s="549">
        <v>358841</v>
      </c>
      <c r="Z27" s="1167">
        <f>SUM(Z24:Z26)</f>
        <v>355827</v>
      </c>
    </row>
    <row r="28" spans="1:26">
      <c r="A28" s="498" t="s">
        <v>51</v>
      </c>
      <c r="B28" s="544" t="s">
        <v>296</v>
      </c>
      <c r="C28" s="547">
        <v>169128</v>
      </c>
      <c r="D28" s="547">
        <v>164961</v>
      </c>
      <c r="E28" s="547">
        <v>158162</v>
      </c>
      <c r="F28" s="547">
        <v>165906</v>
      </c>
      <c r="G28" s="547">
        <v>200961</v>
      </c>
      <c r="H28" s="547">
        <v>228152</v>
      </c>
      <c r="I28" s="547">
        <v>229745</v>
      </c>
      <c r="J28" s="547">
        <v>160715</v>
      </c>
      <c r="K28" s="547">
        <v>171205</v>
      </c>
      <c r="L28" s="547">
        <v>198335</v>
      </c>
      <c r="M28" s="547">
        <v>114473</v>
      </c>
      <c r="N28" s="547">
        <v>136717</v>
      </c>
      <c r="O28" s="547">
        <v>126034</v>
      </c>
      <c r="P28" s="547">
        <v>123044</v>
      </c>
      <c r="Q28" s="547">
        <v>135972</v>
      </c>
      <c r="R28" s="547">
        <v>146925</v>
      </c>
      <c r="S28" s="547">
        <v>142661</v>
      </c>
      <c r="T28" s="547">
        <v>158859</v>
      </c>
      <c r="U28" s="547">
        <v>153894</v>
      </c>
      <c r="V28" s="547">
        <v>151252</v>
      </c>
      <c r="W28" s="547">
        <v>156299</v>
      </c>
      <c r="X28" s="547">
        <v>172430</v>
      </c>
      <c r="Y28" s="547">
        <v>179282</v>
      </c>
      <c r="Z28" s="1108">
        <v>159463</v>
      </c>
    </row>
    <row r="29" spans="1:26">
      <c r="A29" s="498"/>
      <c r="B29" s="545" t="s">
        <v>297</v>
      </c>
      <c r="C29" s="548">
        <v>1058</v>
      </c>
      <c r="D29" s="548">
        <v>1388</v>
      </c>
      <c r="E29" s="548">
        <v>1651</v>
      </c>
      <c r="F29" s="548">
        <v>1753</v>
      </c>
      <c r="G29" s="548">
        <v>2094</v>
      </c>
      <c r="H29" s="548">
        <v>2268</v>
      </c>
      <c r="I29" s="548">
        <v>1962</v>
      </c>
      <c r="J29" s="548">
        <v>2557</v>
      </c>
      <c r="K29" s="548">
        <v>2213</v>
      </c>
      <c r="L29" s="548">
        <v>2519</v>
      </c>
      <c r="M29" s="548">
        <v>2631</v>
      </c>
      <c r="N29" s="548">
        <v>2987</v>
      </c>
      <c r="O29" s="548">
        <v>4285</v>
      </c>
      <c r="P29" s="548">
        <v>3801</v>
      </c>
      <c r="Q29" s="548">
        <v>5624</v>
      </c>
      <c r="R29" s="548">
        <v>3812</v>
      </c>
      <c r="S29" s="548">
        <v>3455</v>
      </c>
      <c r="T29" s="548">
        <v>3644</v>
      </c>
      <c r="U29" s="548">
        <v>4144</v>
      </c>
      <c r="V29" s="548">
        <v>4569</v>
      </c>
      <c r="W29" s="548">
        <v>5624</v>
      </c>
      <c r="X29" s="548">
        <v>5480</v>
      </c>
      <c r="Y29" s="548">
        <v>5596</v>
      </c>
      <c r="Z29" s="1166">
        <v>5060</v>
      </c>
    </row>
    <row r="30" spans="1:26">
      <c r="A30" s="498"/>
      <c r="B30" s="545" t="s">
        <v>298</v>
      </c>
      <c r="C30" s="548">
        <v>3608</v>
      </c>
      <c r="D30" s="548">
        <v>4360</v>
      </c>
      <c r="E30" s="548">
        <v>5374</v>
      </c>
      <c r="F30" s="548">
        <v>7073</v>
      </c>
      <c r="G30" s="548">
        <v>9660</v>
      </c>
      <c r="H30" s="548">
        <v>14196</v>
      </c>
      <c r="I30" s="548">
        <v>12521</v>
      </c>
      <c r="J30" s="548">
        <v>9921</v>
      </c>
      <c r="K30" s="548">
        <v>10828</v>
      </c>
      <c r="L30" s="548">
        <v>12330</v>
      </c>
      <c r="M30" s="548">
        <v>10670</v>
      </c>
      <c r="N30" s="548">
        <v>10528</v>
      </c>
      <c r="O30" s="548">
        <v>11254</v>
      </c>
      <c r="P30" s="548">
        <v>11940</v>
      </c>
      <c r="Q30" s="548">
        <v>12047</v>
      </c>
      <c r="R30" s="548">
        <v>12461</v>
      </c>
      <c r="S30" s="548">
        <v>13315</v>
      </c>
      <c r="T30" s="548">
        <v>12847</v>
      </c>
      <c r="U30" s="548">
        <v>12876</v>
      </c>
      <c r="V30" s="548">
        <v>13285</v>
      </c>
      <c r="W30" s="548">
        <v>14502</v>
      </c>
      <c r="X30" s="548">
        <v>14973</v>
      </c>
      <c r="Y30" s="548">
        <v>15058</v>
      </c>
      <c r="Z30" s="1166">
        <v>15100</v>
      </c>
    </row>
    <row r="31" spans="1:26">
      <c r="A31" s="501"/>
      <c r="B31" s="546" t="s">
        <v>166</v>
      </c>
      <c r="C31" s="549">
        <f>SUM(C28:C30)</f>
        <v>173794</v>
      </c>
      <c r="D31" s="549">
        <f t="shared" ref="D31" si="70">SUM(D28:D30)</f>
        <v>170709</v>
      </c>
      <c r="E31" s="549">
        <f t="shared" ref="E31" si="71">SUM(E28:E30)</f>
        <v>165187</v>
      </c>
      <c r="F31" s="549">
        <f t="shared" ref="F31" si="72">SUM(F28:F30)</f>
        <v>174732</v>
      </c>
      <c r="G31" s="549">
        <f t="shared" ref="G31" si="73">SUM(G28:G30)</f>
        <v>212715</v>
      </c>
      <c r="H31" s="549">
        <f t="shared" ref="H31" si="74">SUM(H28:H30)</f>
        <v>244616</v>
      </c>
      <c r="I31" s="549">
        <f t="shared" ref="I31" si="75">SUM(I28:I30)</f>
        <v>244228</v>
      </c>
      <c r="J31" s="549">
        <f t="shared" ref="J31" si="76">SUM(J28:J30)</f>
        <v>173193</v>
      </c>
      <c r="K31" s="549">
        <f t="shared" ref="K31" si="77">SUM(K28:K30)</f>
        <v>184246</v>
      </c>
      <c r="L31" s="549">
        <f t="shared" ref="L31" si="78">SUM(L28:L30)</f>
        <v>213184</v>
      </c>
      <c r="M31" s="549">
        <f t="shared" ref="M31" si="79">SUM(M28:M30)</f>
        <v>127774</v>
      </c>
      <c r="N31" s="549">
        <f t="shared" ref="N31" si="80">SUM(N28:N30)</f>
        <v>150232</v>
      </c>
      <c r="O31" s="549">
        <f t="shared" ref="O31" si="81">SUM(O28:O30)</f>
        <v>141573</v>
      </c>
      <c r="P31" s="549">
        <f t="shared" ref="P31" si="82">SUM(P28:P30)</f>
        <v>138785</v>
      </c>
      <c r="Q31" s="549">
        <f t="shared" ref="Q31" si="83">SUM(Q28:Q30)</f>
        <v>153643</v>
      </c>
      <c r="R31" s="549">
        <f t="shared" ref="R31" si="84">SUM(R28:R30)</f>
        <v>163198</v>
      </c>
      <c r="S31" s="549">
        <f t="shared" ref="S31" si="85">SUM(S28:S30)</f>
        <v>159431</v>
      </c>
      <c r="T31" s="549">
        <f t="shared" ref="T31" si="86">SUM(T28:T30)</f>
        <v>175350</v>
      </c>
      <c r="U31" s="549">
        <f t="shared" ref="U31" si="87">SUM(U28:U30)</f>
        <v>170914</v>
      </c>
      <c r="V31" s="549">
        <f t="shared" ref="V31" si="88">SUM(V28:V30)</f>
        <v>169106</v>
      </c>
      <c r="W31" s="549">
        <f t="shared" ref="W31" si="89">SUM(W28:W30)</f>
        <v>176425</v>
      </c>
      <c r="X31" s="549">
        <f t="shared" ref="X31" si="90">SUM(X28:X30)</f>
        <v>192883</v>
      </c>
      <c r="Y31" s="549">
        <v>199936</v>
      </c>
      <c r="Z31" s="1167">
        <f>SUM(Z28:Z30)</f>
        <v>179623</v>
      </c>
    </row>
    <row r="32" spans="1:26">
      <c r="Z32" s="952"/>
    </row>
    <row r="33" spans="2:26">
      <c r="B33" t="s">
        <v>299</v>
      </c>
      <c r="Z33" s="952"/>
    </row>
    <row r="34" spans="2:26">
      <c r="B34" s="524" t="s">
        <v>300</v>
      </c>
      <c r="C34" s="524">
        <v>1996</v>
      </c>
      <c r="D34" s="524">
        <v>1997</v>
      </c>
      <c r="E34" s="524">
        <v>1998</v>
      </c>
      <c r="F34" s="524">
        <v>1999</v>
      </c>
      <c r="G34" s="524">
        <v>2000</v>
      </c>
      <c r="H34" s="524">
        <v>2001</v>
      </c>
      <c r="I34" s="524">
        <v>2002</v>
      </c>
      <c r="J34" s="524">
        <v>2003</v>
      </c>
      <c r="K34" s="524">
        <v>2004</v>
      </c>
      <c r="L34" s="524">
        <v>2005</v>
      </c>
      <c r="M34" s="524">
        <v>2006</v>
      </c>
      <c r="N34" s="524">
        <v>2009</v>
      </c>
      <c r="O34" s="524">
        <v>2010</v>
      </c>
      <c r="P34" s="524">
        <v>2011</v>
      </c>
      <c r="Q34" s="524">
        <v>2012</v>
      </c>
      <c r="R34" s="524">
        <v>2013</v>
      </c>
      <c r="S34" s="524">
        <v>2014</v>
      </c>
      <c r="T34" s="524">
        <v>2015</v>
      </c>
      <c r="U34" s="524">
        <v>2016</v>
      </c>
      <c r="V34" s="524">
        <v>2017</v>
      </c>
      <c r="W34" s="524">
        <v>2018</v>
      </c>
      <c r="X34" s="524">
        <v>2019</v>
      </c>
      <c r="Y34" s="534">
        <v>2020</v>
      </c>
      <c r="Z34" s="1187">
        <v>2021</v>
      </c>
    </row>
    <row r="35" spans="2:26">
      <c r="B35" s="544" t="s">
        <v>301</v>
      </c>
      <c r="C35" s="544">
        <f t="shared" ref="C35:X37" si="91">C8+C12+C16+C20+C24+C28</f>
        <v>907686</v>
      </c>
      <c r="D35" s="544">
        <f t="shared" si="91"/>
        <v>905406</v>
      </c>
      <c r="E35" s="544">
        <f t="shared" si="91"/>
        <v>974456</v>
      </c>
      <c r="F35" s="544">
        <f t="shared" si="91"/>
        <v>1003732</v>
      </c>
      <c r="G35" s="544">
        <f t="shared" si="91"/>
        <v>1104657</v>
      </c>
      <c r="H35" s="544">
        <f t="shared" si="91"/>
        <v>1103560</v>
      </c>
      <c r="I35" s="544">
        <f t="shared" si="91"/>
        <v>1080582</v>
      </c>
      <c r="J35" s="544">
        <f t="shared" si="91"/>
        <v>1127238</v>
      </c>
      <c r="K35" s="544">
        <f t="shared" si="91"/>
        <v>1149981</v>
      </c>
      <c r="L35" s="544">
        <f t="shared" si="91"/>
        <v>1237028</v>
      </c>
      <c r="M35" s="547">
        <f t="shared" si="91"/>
        <v>1282384</v>
      </c>
      <c r="N35" s="547">
        <f t="shared" si="91"/>
        <v>1331777</v>
      </c>
      <c r="O35" s="547">
        <f t="shared" si="91"/>
        <v>1389232</v>
      </c>
      <c r="P35" s="547">
        <f t="shared" si="91"/>
        <v>1555711</v>
      </c>
      <c r="Q35" s="547">
        <f t="shared" si="91"/>
        <v>1728578</v>
      </c>
      <c r="R35" s="547">
        <f t="shared" si="91"/>
        <v>1921441</v>
      </c>
      <c r="S35" s="547">
        <f t="shared" si="91"/>
        <v>2008933</v>
      </c>
      <c r="T35" s="547">
        <f t="shared" si="91"/>
        <v>2188932</v>
      </c>
      <c r="U35" s="547">
        <f t="shared" si="91"/>
        <v>2436257</v>
      </c>
      <c r="V35" s="547">
        <f t="shared" si="91"/>
        <v>2456411</v>
      </c>
      <c r="W35" s="547">
        <f t="shared" si="91"/>
        <v>2600036</v>
      </c>
      <c r="X35" s="547">
        <f t="shared" si="91"/>
        <v>2465543</v>
      </c>
      <c r="Y35" s="547">
        <v>2538782</v>
      </c>
      <c r="Z35" s="1166">
        <v>2598438</v>
      </c>
    </row>
    <row r="36" spans="2:26">
      <c r="B36" s="545" t="s">
        <v>302</v>
      </c>
      <c r="C36" s="545">
        <f t="shared" si="91"/>
        <v>41258</v>
      </c>
      <c r="D36" s="545">
        <f t="shared" si="91"/>
        <v>45627</v>
      </c>
      <c r="E36" s="545">
        <f t="shared" si="91"/>
        <v>49385</v>
      </c>
      <c r="F36" s="545">
        <f t="shared" si="91"/>
        <v>50450</v>
      </c>
      <c r="G36" s="545">
        <f t="shared" si="91"/>
        <v>54843</v>
      </c>
      <c r="H36" s="545">
        <f t="shared" si="91"/>
        <v>57098</v>
      </c>
      <c r="I36" s="545">
        <f t="shared" si="91"/>
        <v>53268</v>
      </c>
      <c r="J36" s="545">
        <f t="shared" si="91"/>
        <v>56049</v>
      </c>
      <c r="K36" s="545">
        <f t="shared" si="91"/>
        <v>58784</v>
      </c>
      <c r="L36" s="545">
        <f t="shared" si="91"/>
        <v>61203</v>
      </c>
      <c r="M36" s="548">
        <f t="shared" si="91"/>
        <v>61434</v>
      </c>
      <c r="N36" s="548">
        <f t="shared" si="91"/>
        <v>56448</v>
      </c>
      <c r="O36" s="548">
        <f t="shared" si="91"/>
        <v>71945</v>
      </c>
      <c r="P36" s="548">
        <f t="shared" si="91"/>
        <v>63183</v>
      </c>
      <c r="Q36" s="548">
        <f t="shared" si="91"/>
        <v>68097</v>
      </c>
      <c r="R36" s="548">
        <f t="shared" si="91"/>
        <v>64431</v>
      </c>
      <c r="S36" s="548">
        <f t="shared" si="91"/>
        <v>63733</v>
      </c>
      <c r="T36" s="548">
        <f t="shared" si="91"/>
        <v>64548</v>
      </c>
      <c r="U36" s="548">
        <f t="shared" si="91"/>
        <v>67559</v>
      </c>
      <c r="V36" s="548">
        <f t="shared" si="91"/>
        <v>70944</v>
      </c>
      <c r="W36" s="548">
        <f t="shared" si="91"/>
        <v>75478</v>
      </c>
      <c r="X36" s="548">
        <f t="shared" si="91"/>
        <v>79019</v>
      </c>
      <c r="Y36" s="548">
        <v>76930</v>
      </c>
      <c r="Z36" s="1166">
        <v>75129</v>
      </c>
    </row>
    <row r="37" spans="2:26">
      <c r="B37" s="546" t="s">
        <v>303</v>
      </c>
      <c r="C37" s="546">
        <f t="shared" si="91"/>
        <v>47291</v>
      </c>
      <c r="D37" s="546">
        <f t="shared" si="91"/>
        <v>54422</v>
      </c>
      <c r="E37" s="546">
        <f t="shared" si="91"/>
        <v>67007</v>
      </c>
      <c r="F37" s="546">
        <f t="shared" si="91"/>
        <v>76358</v>
      </c>
      <c r="G37" s="546">
        <f t="shared" si="91"/>
        <v>93237</v>
      </c>
      <c r="H37" s="546">
        <f t="shared" si="91"/>
        <v>108230</v>
      </c>
      <c r="I37" s="546">
        <f t="shared" si="91"/>
        <v>110392</v>
      </c>
      <c r="J37" s="546">
        <f t="shared" si="91"/>
        <v>115204</v>
      </c>
      <c r="K37" s="546">
        <f t="shared" si="91"/>
        <v>122633</v>
      </c>
      <c r="L37" s="546">
        <f t="shared" si="91"/>
        <v>136752</v>
      </c>
      <c r="M37" s="549">
        <f t="shared" si="91"/>
        <v>149663</v>
      </c>
      <c r="N37" s="549">
        <f t="shared" si="91"/>
        <v>155400</v>
      </c>
      <c r="O37" s="549">
        <f t="shared" si="91"/>
        <v>164339</v>
      </c>
      <c r="P37" s="549">
        <f t="shared" si="91"/>
        <v>182425</v>
      </c>
      <c r="Q37" s="549">
        <f t="shared" si="91"/>
        <v>195331</v>
      </c>
      <c r="R37" s="549">
        <f t="shared" si="91"/>
        <v>204442</v>
      </c>
      <c r="S37" s="549">
        <f t="shared" si="91"/>
        <v>214063</v>
      </c>
      <c r="T37" s="549">
        <f t="shared" si="91"/>
        <v>216855</v>
      </c>
      <c r="U37" s="549">
        <f t="shared" si="91"/>
        <v>232912</v>
      </c>
      <c r="V37" s="549">
        <f t="shared" si="91"/>
        <v>243519</v>
      </c>
      <c r="W37" s="549">
        <f t="shared" si="91"/>
        <v>252779</v>
      </c>
      <c r="X37" s="549">
        <f t="shared" si="91"/>
        <v>265381</v>
      </c>
      <c r="Y37" s="549">
        <v>274891</v>
      </c>
      <c r="Z37" s="1167">
        <v>277409</v>
      </c>
    </row>
    <row r="38" spans="2:26">
      <c r="B38" s="524" t="s">
        <v>52</v>
      </c>
      <c r="C38" s="549">
        <f t="shared" ref="C38" si="92">SUM(C35:C37)</f>
        <v>996235</v>
      </c>
      <c r="D38" s="549">
        <f t="shared" ref="D38" si="93">SUM(D35:D37)</f>
        <v>1005455</v>
      </c>
      <c r="E38" s="549">
        <f t="shared" ref="E38" si="94">SUM(E35:E37)</f>
        <v>1090848</v>
      </c>
      <c r="F38" s="549">
        <f t="shared" ref="F38" si="95">SUM(F35:F37)</f>
        <v>1130540</v>
      </c>
      <c r="G38" s="549">
        <f t="shared" ref="G38" si="96">SUM(G35:G37)</f>
        <v>1252737</v>
      </c>
      <c r="H38" s="549">
        <f t="shared" ref="H38" si="97">SUM(H35:H37)</f>
        <v>1268888</v>
      </c>
      <c r="I38" s="549">
        <f t="shared" ref="I38" si="98">SUM(I35:I37)</f>
        <v>1244242</v>
      </c>
      <c r="J38" s="549">
        <f t="shared" ref="J38" si="99">SUM(J35:J37)</f>
        <v>1298491</v>
      </c>
      <c r="K38" s="549">
        <f t="shared" ref="K38" si="100">SUM(K35:K37)</f>
        <v>1331398</v>
      </c>
      <c r="L38" s="549">
        <f t="shared" ref="L38" si="101">SUM(L35:L37)</f>
        <v>1434983</v>
      </c>
      <c r="M38" s="549">
        <f t="shared" ref="M38" si="102">SUM(M35:M37)</f>
        <v>1493481</v>
      </c>
      <c r="N38" s="549">
        <f t="shared" ref="N38" si="103">SUM(N35:N37)</f>
        <v>1543625</v>
      </c>
      <c r="O38" s="549">
        <f t="shared" ref="O38" si="104">SUM(O35:O37)</f>
        <v>1625516</v>
      </c>
      <c r="P38" s="549">
        <f t="shared" ref="P38" si="105">SUM(P35:P37)</f>
        <v>1801319</v>
      </c>
      <c r="Q38" s="549">
        <f t="shared" ref="Q38" si="106">SUM(Q35:Q37)</f>
        <v>1992006</v>
      </c>
      <c r="R38" s="549">
        <f t="shared" ref="R38" si="107">SUM(R35:R37)</f>
        <v>2190314</v>
      </c>
      <c r="S38" s="549">
        <f t="shared" ref="S38" si="108">SUM(S35:S37)</f>
        <v>2286729</v>
      </c>
      <c r="T38" s="549">
        <f t="shared" ref="T38" si="109">SUM(T35:T37)</f>
        <v>2470335</v>
      </c>
      <c r="U38" s="549">
        <f t="shared" ref="U38" si="110">SUM(U35:U37)</f>
        <v>2736728</v>
      </c>
      <c r="V38" s="549">
        <f t="shared" ref="V38" si="111">SUM(V35:V37)</f>
        <v>2770874</v>
      </c>
      <c r="W38" s="549">
        <f t="shared" ref="W38" si="112">SUM(W35:W37)</f>
        <v>2928293</v>
      </c>
      <c r="X38" s="549">
        <f t="shared" ref="X38" si="113">SUM(X35:X37)</f>
        <v>2809943</v>
      </c>
      <c r="Y38" s="549">
        <v>2890603</v>
      </c>
      <c r="Z38" s="1168">
        <f>SUM(Z35:Z37)</f>
        <v>2950976</v>
      </c>
    </row>
    <row r="39" spans="2:26">
      <c r="C39" s="566">
        <f>C38/1000</f>
        <v>996.23500000000001</v>
      </c>
      <c r="D39" s="566">
        <f t="shared" ref="D39:X39" si="114">D38/1000</f>
        <v>1005.455</v>
      </c>
      <c r="E39" s="566">
        <f t="shared" si="114"/>
        <v>1090.848</v>
      </c>
      <c r="F39" s="566">
        <f t="shared" si="114"/>
        <v>1130.54</v>
      </c>
      <c r="G39" s="566">
        <f t="shared" si="114"/>
        <v>1252.7370000000001</v>
      </c>
      <c r="H39" s="566">
        <f t="shared" si="114"/>
        <v>1268.8879999999999</v>
      </c>
      <c r="I39" s="566">
        <f t="shared" si="114"/>
        <v>1244.242</v>
      </c>
      <c r="J39" s="566">
        <f t="shared" si="114"/>
        <v>1298.491</v>
      </c>
      <c r="K39" s="566">
        <f t="shared" si="114"/>
        <v>1331.3979999999999</v>
      </c>
      <c r="L39" s="566">
        <f t="shared" si="114"/>
        <v>1434.9829999999999</v>
      </c>
      <c r="M39" s="566">
        <f t="shared" si="114"/>
        <v>1493.481</v>
      </c>
      <c r="N39" s="566">
        <f t="shared" si="114"/>
        <v>1543.625</v>
      </c>
      <c r="O39" s="566">
        <f t="shared" si="114"/>
        <v>1625.5160000000001</v>
      </c>
      <c r="P39" s="566">
        <f t="shared" si="114"/>
        <v>1801.319</v>
      </c>
      <c r="Q39" s="566">
        <f t="shared" si="114"/>
        <v>1992.0060000000001</v>
      </c>
      <c r="R39" s="566">
        <f t="shared" si="114"/>
        <v>2190.3139999999999</v>
      </c>
      <c r="S39" s="566">
        <f t="shared" si="114"/>
        <v>2286.7289999999998</v>
      </c>
      <c r="T39" s="566">
        <f t="shared" si="114"/>
        <v>2470.335</v>
      </c>
      <c r="U39" s="566">
        <f t="shared" si="114"/>
        <v>2736.7280000000001</v>
      </c>
      <c r="V39" s="566">
        <f t="shared" si="114"/>
        <v>2770.8739999999998</v>
      </c>
      <c r="W39" s="566">
        <f t="shared" si="114"/>
        <v>2928.2930000000001</v>
      </c>
      <c r="X39" s="566">
        <f t="shared" si="114"/>
        <v>2809.9430000000002</v>
      </c>
      <c r="Y39" s="566">
        <v>2890.6030000000001</v>
      </c>
      <c r="Z39" s="1188">
        <v>2951</v>
      </c>
    </row>
    <row r="40" spans="2:26">
      <c r="Z40" s="1086"/>
    </row>
    <row r="41" spans="2:26">
      <c r="B41" t="s">
        <v>304</v>
      </c>
      <c r="Z41" s="1086"/>
    </row>
    <row r="42" spans="2:26">
      <c r="B42" s="534" t="s">
        <v>305</v>
      </c>
      <c r="C42" s="524">
        <v>1996</v>
      </c>
      <c r="D42" s="524">
        <v>1997</v>
      </c>
      <c r="E42" s="524">
        <v>1998</v>
      </c>
      <c r="F42" s="524">
        <v>1999</v>
      </c>
      <c r="G42" s="524">
        <v>2000</v>
      </c>
      <c r="H42" s="524">
        <v>2001</v>
      </c>
      <c r="I42" s="524">
        <v>2002</v>
      </c>
      <c r="J42" s="524">
        <v>2003</v>
      </c>
      <c r="K42" s="524">
        <v>2004</v>
      </c>
      <c r="L42" s="524">
        <v>2005</v>
      </c>
      <c r="M42" s="534">
        <v>2006</v>
      </c>
      <c r="N42" s="534">
        <v>2009</v>
      </c>
      <c r="O42" s="534">
        <v>2010</v>
      </c>
      <c r="P42" s="534">
        <v>2011</v>
      </c>
      <c r="Q42" s="534">
        <v>2012</v>
      </c>
      <c r="R42" s="534">
        <v>2013</v>
      </c>
      <c r="S42" s="534">
        <v>2014</v>
      </c>
      <c r="T42" s="534">
        <v>2015</v>
      </c>
      <c r="U42" s="534">
        <v>2016</v>
      </c>
      <c r="V42" s="534">
        <v>2017</v>
      </c>
      <c r="W42" s="534">
        <v>2018</v>
      </c>
      <c r="X42" s="534">
        <v>2019</v>
      </c>
      <c r="Y42" s="534">
        <v>2020</v>
      </c>
      <c r="Z42" s="1187">
        <v>2021</v>
      </c>
    </row>
    <row r="43" spans="2:26">
      <c r="B43" s="544" t="s">
        <v>55</v>
      </c>
      <c r="C43" s="547">
        <f t="shared" ref="C43:L43" si="115">C11</f>
        <v>221697</v>
      </c>
      <c r="D43" s="547">
        <f t="shared" si="115"/>
        <v>218592</v>
      </c>
      <c r="E43" s="547">
        <f t="shared" si="115"/>
        <v>246978</v>
      </c>
      <c r="F43" s="547">
        <f t="shared" si="115"/>
        <v>263212</v>
      </c>
      <c r="G43" s="547">
        <f t="shared" si="115"/>
        <v>279604</v>
      </c>
      <c r="H43" s="547">
        <f t="shared" si="115"/>
        <v>256693</v>
      </c>
      <c r="I43" s="547">
        <f t="shared" si="115"/>
        <v>258968</v>
      </c>
      <c r="J43" s="547">
        <f t="shared" si="115"/>
        <v>259599</v>
      </c>
      <c r="K43" s="547">
        <f t="shared" si="115"/>
        <v>255089</v>
      </c>
      <c r="L43" s="547">
        <f t="shared" si="115"/>
        <v>263152</v>
      </c>
      <c r="M43" s="547">
        <v>271885</v>
      </c>
      <c r="N43" s="547">
        <v>269943</v>
      </c>
      <c r="O43" s="547">
        <v>263346</v>
      </c>
      <c r="P43" s="547">
        <v>283411</v>
      </c>
      <c r="Q43" s="547">
        <v>292065</v>
      </c>
      <c r="R43" s="547">
        <v>292986</v>
      </c>
      <c r="S43" s="547">
        <v>295591</v>
      </c>
      <c r="T43" s="547">
        <v>291489</v>
      </c>
      <c r="U43" s="547">
        <v>303012</v>
      </c>
      <c r="V43" s="547">
        <v>301978</v>
      </c>
      <c r="W43" s="547">
        <v>301656</v>
      </c>
      <c r="X43" s="547">
        <v>300728</v>
      </c>
      <c r="Y43" s="547">
        <v>290514</v>
      </c>
      <c r="Z43" s="1166">
        <v>285853</v>
      </c>
    </row>
    <row r="44" spans="2:26">
      <c r="B44" s="545" t="s">
        <v>56</v>
      </c>
      <c r="C44" s="548">
        <f t="shared" ref="C44:L44" si="116">C15</f>
        <v>417185</v>
      </c>
      <c r="D44" s="548">
        <f t="shared" si="116"/>
        <v>423014</v>
      </c>
      <c r="E44" s="548">
        <f t="shared" si="116"/>
        <v>448143</v>
      </c>
      <c r="F44" s="548">
        <f t="shared" si="116"/>
        <v>446458</v>
      </c>
      <c r="G44" s="548">
        <f t="shared" si="116"/>
        <v>487061</v>
      </c>
      <c r="H44" s="548">
        <f t="shared" si="116"/>
        <v>494104</v>
      </c>
      <c r="I44" s="548">
        <f t="shared" si="116"/>
        <v>472155</v>
      </c>
      <c r="J44" s="548">
        <f t="shared" si="116"/>
        <v>474246</v>
      </c>
      <c r="K44" s="548">
        <f t="shared" si="116"/>
        <v>485170</v>
      </c>
      <c r="L44" s="548">
        <f t="shared" si="116"/>
        <v>496079</v>
      </c>
      <c r="M44" s="548">
        <v>476285</v>
      </c>
      <c r="N44" s="548">
        <v>412520</v>
      </c>
      <c r="O44" s="548">
        <v>406424</v>
      </c>
      <c r="P44" s="548">
        <v>416454</v>
      </c>
      <c r="Q44" s="548">
        <v>418021</v>
      </c>
      <c r="R44" s="548">
        <v>393687</v>
      </c>
      <c r="S44" s="548">
        <v>382867</v>
      </c>
      <c r="T44" s="548">
        <v>378920</v>
      </c>
      <c r="U44" s="548">
        <v>379093</v>
      </c>
      <c r="V44" s="548">
        <v>378418</v>
      </c>
      <c r="W44" s="548">
        <v>376113</v>
      </c>
      <c r="X44" s="548">
        <v>367240</v>
      </c>
      <c r="Y44" s="548">
        <v>338309</v>
      </c>
      <c r="Z44" s="1166">
        <v>325674</v>
      </c>
    </row>
    <row r="45" spans="2:26">
      <c r="B45" s="545" t="s">
        <v>57</v>
      </c>
      <c r="C45" s="557"/>
      <c r="D45" s="557"/>
      <c r="E45" s="557"/>
      <c r="F45" s="557"/>
      <c r="G45" s="557"/>
      <c r="H45" s="557"/>
      <c r="I45" s="557"/>
      <c r="J45" s="548">
        <f t="shared" ref="J45:L45" si="117">J19</f>
        <v>113594</v>
      </c>
      <c r="K45" s="548">
        <f t="shared" si="117"/>
        <v>135293</v>
      </c>
      <c r="L45" s="548">
        <f t="shared" si="117"/>
        <v>160504</v>
      </c>
      <c r="M45" s="548">
        <v>170722</v>
      </c>
      <c r="N45" s="548">
        <v>165462</v>
      </c>
      <c r="O45" s="548">
        <v>174497</v>
      </c>
      <c r="P45" s="548">
        <v>183888</v>
      </c>
      <c r="Q45" s="548">
        <v>198192</v>
      </c>
      <c r="R45" s="548">
        <v>216608</v>
      </c>
      <c r="S45" s="548">
        <v>222431</v>
      </c>
      <c r="T45" s="548">
        <v>229374</v>
      </c>
      <c r="U45" s="548">
        <v>223928</v>
      </c>
      <c r="V45" s="548">
        <v>216097</v>
      </c>
      <c r="W45" s="548">
        <v>219897</v>
      </c>
      <c r="X45" s="548">
        <v>234021</v>
      </c>
      <c r="Y45" s="548">
        <v>246016</v>
      </c>
      <c r="Z45" s="1166">
        <v>252614</v>
      </c>
    </row>
    <row r="46" spans="2:26">
      <c r="B46" s="545" t="s">
        <v>58</v>
      </c>
      <c r="C46" s="557"/>
      <c r="D46" s="557"/>
      <c r="E46" s="557"/>
      <c r="F46" s="557"/>
      <c r="G46" s="557"/>
      <c r="H46" s="557"/>
      <c r="I46" s="557"/>
      <c r="J46" s="557"/>
      <c r="K46" s="557"/>
      <c r="L46" s="557"/>
      <c r="M46" s="548">
        <v>130454</v>
      </c>
      <c r="N46" s="548">
        <v>243993</v>
      </c>
      <c r="O46" s="548">
        <v>312507</v>
      </c>
      <c r="P46" s="548">
        <v>439293</v>
      </c>
      <c r="Q46" s="548">
        <v>562667</v>
      </c>
      <c r="R46" s="548">
        <v>736644</v>
      </c>
      <c r="S46" s="548">
        <v>839122</v>
      </c>
      <c r="T46" s="548">
        <v>1011854</v>
      </c>
      <c r="U46" s="548">
        <v>1265436</v>
      </c>
      <c r="V46" s="548">
        <v>1318556</v>
      </c>
      <c r="W46" s="548">
        <v>1476665</v>
      </c>
      <c r="X46" s="548">
        <v>1336626</v>
      </c>
      <c r="Y46" s="548">
        <v>1456987</v>
      </c>
      <c r="Z46" s="1166">
        <v>1545527</v>
      </c>
    </row>
    <row r="47" spans="2:26">
      <c r="B47" s="545" t="s">
        <v>59</v>
      </c>
      <c r="C47" s="548">
        <f t="shared" ref="C47:L47" si="118">C27</f>
        <v>183559</v>
      </c>
      <c r="D47" s="548">
        <f t="shared" si="118"/>
        <v>193140</v>
      </c>
      <c r="E47" s="548">
        <f t="shared" si="118"/>
        <v>230540</v>
      </c>
      <c r="F47" s="548">
        <f t="shared" si="118"/>
        <v>246138</v>
      </c>
      <c r="G47" s="548">
        <f t="shared" si="118"/>
        <v>273357</v>
      </c>
      <c r="H47" s="548">
        <f t="shared" si="118"/>
        <v>273475</v>
      </c>
      <c r="I47" s="548">
        <f t="shared" si="118"/>
        <v>268891</v>
      </c>
      <c r="J47" s="548">
        <f t="shared" si="118"/>
        <v>277859</v>
      </c>
      <c r="K47" s="548">
        <f t="shared" si="118"/>
        <v>271600</v>
      </c>
      <c r="L47" s="548">
        <f t="shared" si="118"/>
        <v>302064</v>
      </c>
      <c r="M47" s="548">
        <v>316361</v>
      </c>
      <c r="N47" s="548">
        <v>301518</v>
      </c>
      <c r="O47" s="548">
        <v>327169</v>
      </c>
      <c r="P47" s="548">
        <v>339488</v>
      </c>
      <c r="Q47" s="548">
        <v>367418</v>
      </c>
      <c r="R47" s="548">
        <v>387191</v>
      </c>
      <c r="S47" s="548">
        <v>387287</v>
      </c>
      <c r="T47" s="548">
        <v>383348</v>
      </c>
      <c r="U47" s="548">
        <v>394345</v>
      </c>
      <c r="V47" s="548">
        <v>386773</v>
      </c>
      <c r="W47" s="548">
        <v>377569</v>
      </c>
      <c r="X47" s="548">
        <v>378445</v>
      </c>
      <c r="Y47" s="548">
        <v>358841</v>
      </c>
      <c r="Z47" s="1166">
        <v>355827</v>
      </c>
    </row>
    <row r="48" spans="2:26">
      <c r="B48" s="546" t="s">
        <v>51</v>
      </c>
      <c r="C48" s="549">
        <f t="shared" ref="C48:L48" si="119">C31</f>
        <v>173794</v>
      </c>
      <c r="D48" s="549">
        <f t="shared" si="119"/>
        <v>170709</v>
      </c>
      <c r="E48" s="549">
        <f t="shared" si="119"/>
        <v>165187</v>
      </c>
      <c r="F48" s="549">
        <f t="shared" si="119"/>
        <v>174732</v>
      </c>
      <c r="G48" s="549">
        <f t="shared" si="119"/>
        <v>212715</v>
      </c>
      <c r="H48" s="549">
        <f t="shared" si="119"/>
        <v>244616</v>
      </c>
      <c r="I48" s="549">
        <f t="shared" si="119"/>
        <v>244228</v>
      </c>
      <c r="J48" s="549">
        <f t="shared" si="119"/>
        <v>173193</v>
      </c>
      <c r="K48" s="549">
        <f t="shared" si="119"/>
        <v>184246</v>
      </c>
      <c r="L48" s="549">
        <f t="shared" si="119"/>
        <v>213184</v>
      </c>
      <c r="M48" s="549">
        <v>127774</v>
      </c>
      <c r="N48" s="549">
        <v>150195</v>
      </c>
      <c r="O48" s="549">
        <v>141573</v>
      </c>
      <c r="P48" s="549">
        <v>138785</v>
      </c>
      <c r="Q48" s="549">
        <v>153643</v>
      </c>
      <c r="R48" s="549">
        <v>163198</v>
      </c>
      <c r="S48" s="549">
        <v>159431</v>
      </c>
      <c r="T48" s="549">
        <v>175350</v>
      </c>
      <c r="U48" s="549">
        <v>170914</v>
      </c>
      <c r="V48" s="549">
        <v>169052</v>
      </c>
      <c r="W48" s="549">
        <v>176393</v>
      </c>
      <c r="X48" s="549">
        <v>192883</v>
      </c>
      <c r="Y48" s="549">
        <v>199936</v>
      </c>
      <c r="Z48" s="1167">
        <v>185481</v>
      </c>
    </row>
    <row r="49" spans="2:52">
      <c r="B49" s="526" t="s">
        <v>52</v>
      </c>
      <c r="C49" s="538">
        <f t="shared" ref="C49:L49" si="120">SUM(C43:C48)</f>
        <v>996235</v>
      </c>
      <c r="D49" s="538">
        <f t="shared" si="120"/>
        <v>1005455</v>
      </c>
      <c r="E49" s="538">
        <f t="shared" si="120"/>
        <v>1090848</v>
      </c>
      <c r="F49" s="538">
        <f t="shared" si="120"/>
        <v>1130540</v>
      </c>
      <c r="G49" s="538">
        <f t="shared" si="120"/>
        <v>1252737</v>
      </c>
      <c r="H49" s="538">
        <f t="shared" si="120"/>
        <v>1268888</v>
      </c>
      <c r="I49" s="538">
        <f t="shared" si="120"/>
        <v>1244242</v>
      </c>
      <c r="J49" s="538">
        <f t="shared" si="120"/>
        <v>1298491</v>
      </c>
      <c r="K49" s="538">
        <f t="shared" si="120"/>
        <v>1331398</v>
      </c>
      <c r="L49" s="538">
        <f t="shared" si="120"/>
        <v>1434983</v>
      </c>
      <c r="M49" s="538">
        <f>SUM(M43:M48)</f>
        <v>1493481</v>
      </c>
      <c r="N49" s="538">
        <f t="shared" ref="N49:X49" si="121">SUM(N43:N48)</f>
        <v>1543631</v>
      </c>
      <c r="O49" s="538">
        <f t="shared" si="121"/>
        <v>1625516</v>
      </c>
      <c r="P49" s="538">
        <f t="shared" si="121"/>
        <v>1801319</v>
      </c>
      <c r="Q49" s="538">
        <f t="shared" si="121"/>
        <v>1992006</v>
      </c>
      <c r="R49" s="538">
        <f t="shared" si="121"/>
        <v>2190314</v>
      </c>
      <c r="S49" s="538">
        <f t="shared" si="121"/>
        <v>2286729</v>
      </c>
      <c r="T49" s="538">
        <f t="shared" si="121"/>
        <v>2470335</v>
      </c>
      <c r="U49" s="538">
        <f t="shared" si="121"/>
        <v>2736728</v>
      </c>
      <c r="V49" s="538">
        <f t="shared" si="121"/>
        <v>2770874</v>
      </c>
      <c r="W49" s="538">
        <f t="shared" si="121"/>
        <v>2928293</v>
      </c>
      <c r="X49" s="538">
        <f t="shared" si="121"/>
        <v>2809943</v>
      </c>
      <c r="Y49" s="538">
        <v>2890603</v>
      </c>
      <c r="Z49" s="1168">
        <f>SUM(Z43:Z48)</f>
        <v>2950976</v>
      </c>
    </row>
    <row r="50" spans="2:52">
      <c r="Z50" s="952"/>
    </row>
    <row r="51" spans="2:52">
      <c r="Z51" s="952"/>
    </row>
    <row r="52" spans="2:52">
      <c r="B52" t="s">
        <v>306</v>
      </c>
      <c r="Z52" s="952"/>
    </row>
    <row r="53" spans="2:52">
      <c r="B53" s="534" t="s">
        <v>305</v>
      </c>
      <c r="C53" s="524">
        <v>1996</v>
      </c>
      <c r="D53" s="524">
        <v>1997</v>
      </c>
      <c r="E53" s="524">
        <v>1998</v>
      </c>
      <c r="F53" s="524">
        <v>1999</v>
      </c>
      <c r="G53" s="524">
        <v>2000</v>
      </c>
      <c r="H53" s="524">
        <v>2001</v>
      </c>
      <c r="I53" s="524">
        <v>2002</v>
      </c>
      <c r="J53" s="524">
        <v>2003</v>
      </c>
      <c r="K53" s="524">
        <v>2004</v>
      </c>
      <c r="L53" s="524">
        <v>2005</v>
      </c>
      <c r="M53" s="534">
        <v>2006</v>
      </c>
      <c r="N53" s="534">
        <v>2009</v>
      </c>
      <c r="O53" s="534">
        <v>2010</v>
      </c>
      <c r="P53" s="534">
        <v>2011</v>
      </c>
      <c r="Q53" s="534">
        <v>2012</v>
      </c>
      <c r="R53" s="534">
        <v>2013</v>
      </c>
      <c r="S53" s="534">
        <v>2014</v>
      </c>
      <c r="T53" s="534">
        <v>2015</v>
      </c>
      <c r="U53" s="534">
        <v>2016</v>
      </c>
      <c r="V53" s="534">
        <v>2017</v>
      </c>
      <c r="W53" s="534">
        <v>2018</v>
      </c>
      <c r="X53" s="534">
        <v>2019</v>
      </c>
      <c r="Y53" s="534">
        <v>2020</v>
      </c>
      <c r="Z53" s="1187">
        <v>2021</v>
      </c>
    </row>
    <row r="54" spans="2:52">
      <c r="B54" s="544" t="s">
        <v>55</v>
      </c>
      <c r="C54" s="560"/>
      <c r="D54" s="560"/>
      <c r="E54" s="560"/>
      <c r="F54" s="560"/>
      <c r="G54" s="560"/>
      <c r="H54" s="560"/>
      <c r="I54" s="560"/>
      <c r="J54" s="560"/>
      <c r="K54" s="560"/>
      <c r="L54" s="560"/>
      <c r="M54" s="547">
        <v>157075</v>
      </c>
      <c r="N54" s="547">
        <v>155905</v>
      </c>
      <c r="O54" s="547">
        <v>146415</v>
      </c>
      <c r="P54" s="547">
        <v>158897</v>
      </c>
      <c r="Q54" s="547">
        <v>160034</v>
      </c>
      <c r="R54" s="547">
        <v>159040</v>
      </c>
      <c r="S54" s="547">
        <v>160767</v>
      </c>
      <c r="T54" s="547">
        <v>152609</v>
      </c>
      <c r="U54" s="547">
        <v>161929</v>
      </c>
      <c r="V54" s="547">
        <v>162876</v>
      </c>
      <c r="W54" s="547">
        <v>160497</v>
      </c>
      <c r="X54" s="547">
        <v>160816</v>
      </c>
      <c r="Y54" s="547">
        <v>155317</v>
      </c>
      <c r="Z54" s="1166">
        <v>152120</v>
      </c>
    </row>
    <row r="55" spans="2:52" ht="18.75">
      <c r="B55" s="545" t="s">
        <v>56</v>
      </c>
      <c r="C55" s="561"/>
      <c r="D55" s="561"/>
      <c r="E55" s="561"/>
      <c r="F55" s="561"/>
      <c r="G55" s="561"/>
      <c r="H55" s="561"/>
      <c r="I55" s="561"/>
      <c r="J55" s="561"/>
      <c r="K55" s="561"/>
      <c r="L55" s="561"/>
      <c r="M55" s="548">
        <v>336013</v>
      </c>
      <c r="N55" s="548">
        <v>282359</v>
      </c>
      <c r="O55" s="548">
        <v>276156</v>
      </c>
      <c r="P55" s="548">
        <v>271683</v>
      </c>
      <c r="Q55" s="548">
        <v>269132</v>
      </c>
      <c r="R55" s="548">
        <v>252391</v>
      </c>
      <c r="S55" s="548">
        <v>245343</v>
      </c>
      <c r="T55" s="548">
        <v>237574</v>
      </c>
      <c r="U55" s="548">
        <v>238167</v>
      </c>
      <c r="V55" s="548">
        <v>236216</v>
      </c>
      <c r="W55" s="548">
        <v>228705</v>
      </c>
      <c r="X55" s="548">
        <v>219138</v>
      </c>
      <c r="Y55" s="548">
        <v>200385</v>
      </c>
      <c r="Z55" s="1166">
        <v>194630</v>
      </c>
      <c r="AC55" s="567" t="s">
        <v>307</v>
      </c>
      <c r="AD55" s="568"/>
      <c r="AE55" s="568"/>
      <c r="AF55" s="568"/>
      <c r="AG55" s="568"/>
      <c r="AH55" s="568"/>
      <c r="AI55" s="568"/>
      <c r="AJ55" s="568"/>
      <c r="AK55" s="568"/>
      <c r="AL55" s="568"/>
      <c r="AM55" s="568"/>
      <c r="AN55" s="568"/>
      <c r="AO55" s="568"/>
      <c r="AP55" s="568"/>
      <c r="AQ55" s="568"/>
      <c r="AR55" s="568"/>
      <c r="AS55" s="568"/>
      <c r="AT55" s="568"/>
      <c r="AU55" s="568"/>
      <c r="AV55" s="568"/>
      <c r="AW55" s="568"/>
      <c r="AX55" s="568"/>
      <c r="AY55" s="568"/>
      <c r="AZ55" s="569"/>
    </row>
    <row r="56" spans="2:52" ht="18.75">
      <c r="B56" s="545" t="s">
        <v>57</v>
      </c>
      <c r="C56" s="561"/>
      <c r="D56" s="561"/>
      <c r="E56" s="561"/>
      <c r="F56" s="561"/>
      <c r="G56" s="561"/>
      <c r="H56" s="561"/>
      <c r="I56" s="561"/>
      <c r="J56" s="561"/>
      <c r="K56" s="561"/>
      <c r="L56" s="561"/>
      <c r="M56" s="548">
        <v>125249</v>
      </c>
      <c r="N56" s="548">
        <v>126988</v>
      </c>
      <c r="O56" s="548">
        <v>131461</v>
      </c>
      <c r="P56" s="548">
        <v>137671</v>
      </c>
      <c r="Q56" s="548">
        <v>147694</v>
      </c>
      <c r="R56" s="548">
        <v>159248</v>
      </c>
      <c r="S56" s="548">
        <v>163185</v>
      </c>
      <c r="T56" s="548">
        <v>166376</v>
      </c>
      <c r="U56" s="548">
        <v>162297</v>
      </c>
      <c r="V56" s="548">
        <v>158190</v>
      </c>
      <c r="W56" s="548">
        <v>161646</v>
      </c>
      <c r="X56" s="548">
        <v>170377</v>
      </c>
      <c r="Y56" s="548">
        <v>179500</v>
      </c>
      <c r="Z56" s="1166">
        <v>184746</v>
      </c>
      <c r="AC56" s="576"/>
      <c r="AD56" s="577"/>
      <c r="AE56" s="577"/>
      <c r="AF56" s="577"/>
      <c r="AG56" s="577"/>
      <c r="AH56" s="577"/>
      <c r="AI56" s="577"/>
      <c r="AJ56" s="577"/>
      <c r="AK56" s="577"/>
      <c r="AL56" s="577"/>
      <c r="AM56" s="577"/>
      <c r="AN56" s="577"/>
      <c r="AO56" s="577"/>
      <c r="AP56" s="577"/>
      <c r="AQ56" s="577"/>
      <c r="AR56" s="577"/>
      <c r="AS56" s="577"/>
      <c r="AT56" s="577"/>
      <c r="AU56" s="577"/>
      <c r="AV56" s="577"/>
      <c r="AW56" s="577"/>
      <c r="AX56" s="577"/>
      <c r="AY56" s="577"/>
      <c r="AZ56" s="578"/>
    </row>
    <row r="57" spans="2:52">
      <c r="B57" s="545" t="s">
        <v>58</v>
      </c>
      <c r="C57" s="561"/>
      <c r="D57" s="561"/>
      <c r="E57" s="561"/>
      <c r="F57" s="561"/>
      <c r="G57" s="561"/>
      <c r="H57" s="561"/>
      <c r="I57" s="561"/>
      <c r="J57" s="561"/>
      <c r="K57" s="561"/>
      <c r="L57" s="561"/>
      <c r="M57" s="548">
        <v>121968</v>
      </c>
      <c r="N57" s="548">
        <v>228456</v>
      </c>
      <c r="O57" s="548">
        <v>291960</v>
      </c>
      <c r="P57" s="548">
        <v>413540</v>
      </c>
      <c r="Q57" s="548">
        <v>533245</v>
      </c>
      <c r="R57" s="548">
        <v>702013</v>
      </c>
      <c r="S57" s="548">
        <v>798074</v>
      </c>
      <c r="T57" s="548">
        <v>965137</v>
      </c>
      <c r="U57" s="548">
        <v>1200383</v>
      </c>
      <c r="V57" s="548">
        <v>1245128</v>
      </c>
      <c r="W57" s="548">
        <v>1393195</v>
      </c>
      <c r="X57" s="548">
        <v>1242826</v>
      </c>
      <c r="Y57" s="548">
        <v>1344166</v>
      </c>
      <c r="Z57" s="1166">
        <v>1425749</v>
      </c>
      <c r="AC57" s="570"/>
      <c r="AD57" s="571"/>
      <c r="AE57" s="571"/>
      <c r="AF57" s="571"/>
      <c r="AG57" s="571"/>
      <c r="AH57" s="571"/>
      <c r="AI57" s="571"/>
      <c r="AJ57" s="571"/>
      <c r="AK57" s="571"/>
      <c r="AL57" s="571"/>
      <c r="AM57" s="571"/>
      <c r="AN57" s="571"/>
      <c r="AO57" s="571"/>
      <c r="AP57" s="571"/>
      <c r="AQ57" s="571"/>
      <c r="AR57" s="571"/>
      <c r="AS57" s="571"/>
      <c r="AT57" s="571"/>
      <c r="AU57" s="571"/>
      <c r="AV57" s="571"/>
      <c r="AW57" s="571"/>
      <c r="AX57" s="571"/>
      <c r="AY57" s="571"/>
      <c r="AZ57" s="572"/>
    </row>
    <row r="58" spans="2:52">
      <c r="B58" s="545" t="s">
        <v>59</v>
      </c>
      <c r="C58" s="561"/>
      <c r="D58" s="561"/>
      <c r="E58" s="561"/>
      <c r="F58" s="561"/>
      <c r="G58" s="561"/>
      <c r="H58" s="561"/>
      <c r="I58" s="561"/>
      <c r="J58" s="561"/>
      <c r="K58" s="561"/>
      <c r="L58" s="561"/>
      <c r="M58" s="548">
        <v>215904</v>
      </c>
      <c r="N58" s="548">
        <v>213093</v>
      </c>
      <c r="O58" s="548">
        <v>227907</v>
      </c>
      <c r="P58" s="548">
        <v>231630</v>
      </c>
      <c r="Q58" s="548">
        <v>250617</v>
      </c>
      <c r="R58" s="548">
        <v>264923</v>
      </c>
      <c r="S58" s="548">
        <v>260984</v>
      </c>
      <c r="T58" s="548">
        <v>260274</v>
      </c>
      <c r="U58" s="548">
        <v>264685</v>
      </c>
      <c r="V58" s="548">
        <v>260824</v>
      </c>
      <c r="W58" s="548">
        <v>250372</v>
      </c>
      <c r="X58" s="548">
        <v>248498</v>
      </c>
      <c r="Y58" s="548">
        <v>232914</v>
      </c>
      <c r="Z58" s="1166">
        <v>224805</v>
      </c>
      <c r="AC58" s="570"/>
      <c r="AD58" s="571"/>
      <c r="AE58" s="571"/>
      <c r="AF58" s="571"/>
      <c r="AG58" s="571"/>
      <c r="AH58" s="571"/>
      <c r="AI58" s="571"/>
      <c r="AJ58" s="571"/>
      <c r="AK58" s="571"/>
      <c r="AL58" s="571"/>
      <c r="AM58" s="571"/>
      <c r="AN58" s="571"/>
      <c r="AO58" s="571"/>
      <c r="AP58" s="571"/>
      <c r="AQ58" s="571"/>
      <c r="AR58" s="571"/>
      <c r="AS58" s="571"/>
      <c r="AT58" s="571"/>
      <c r="AU58" s="571"/>
      <c r="AV58" s="571"/>
      <c r="AW58" s="571"/>
      <c r="AX58" s="571"/>
      <c r="AY58" s="571"/>
      <c r="AZ58" s="572"/>
    </row>
    <row r="59" spans="2:52">
      <c r="B59" s="546" t="s">
        <v>51</v>
      </c>
      <c r="C59" s="562"/>
      <c r="D59" s="562"/>
      <c r="E59" s="562"/>
      <c r="F59" s="562"/>
      <c r="G59" s="562"/>
      <c r="H59" s="562"/>
      <c r="I59" s="562"/>
      <c r="J59" s="562"/>
      <c r="K59" s="562"/>
      <c r="L59" s="562"/>
      <c r="M59" s="549">
        <v>67267</v>
      </c>
      <c r="N59" s="549">
        <v>90967</v>
      </c>
      <c r="O59" s="549">
        <v>75974</v>
      </c>
      <c r="P59" s="549">
        <v>72293</v>
      </c>
      <c r="Q59" s="549">
        <v>82521</v>
      </c>
      <c r="R59" s="549">
        <v>89590</v>
      </c>
      <c r="S59" s="549">
        <v>85346</v>
      </c>
      <c r="T59" s="549">
        <v>89665</v>
      </c>
      <c r="U59" s="549">
        <v>92794</v>
      </c>
      <c r="V59" s="549">
        <v>90142</v>
      </c>
      <c r="W59" s="549">
        <v>91937</v>
      </c>
      <c r="X59" s="549">
        <v>91527</v>
      </c>
      <c r="Y59" s="549">
        <v>102268</v>
      </c>
      <c r="Z59" s="1167">
        <v>84853</v>
      </c>
      <c r="AC59" s="570"/>
      <c r="AD59" s="571"/>
      <c r="AE59" s="571"/>
      <c r="AF59" s="571"/>
      <c r="AG59" s="571"/>
      <c r="AH59" s="571"/>
      <c r="AI59" s="571"/>
      <c r="AJ59" s="571"/>
      <c r="AK59" s="571"/>
      <c r="AL59" s="571"/>
      <c r="AM59" s="571"/>
      <c r="AN59" s="571"/>
      <c r="AO59" s="571"/>
      <c r="AP59" s="571"/>
      <c r="AQ59" s="571"/>
      <c r="AR59" s="571"/>
      <c r="AS59" s="571"/>
      <c r="AT59" s="571"/>
      <c r="AU59" s="571"/>
      <c r="AV59" s="571"/>
      <c r="AW59" s="571"/>
      <c r="AX59" s="571"/>
      <c r="AY59" s="571"/>
      <c r="AZ59" s="572"/>
    </row>
    <row r="60" spans="2:52">
      <c r="B60" s="526" t="s">
        <v>52</v>
      </c>
      <c r="C60" s="563"/>
      <c r="D60" s="563"/>
      <c r="E60" s="563"/>
      <c r="F60" s="563"/>
      <c r="G60" s="563"/>
      <c r="H60" s="563"/>
      <c r="I60" s="563"/>
      <c r="J60" s="563"/>
      <c r="K60" s="563"/>
      <c r="L60" s="563"/>
      <c r="M60" s="538">
        <f>SUM(M54:M59)</f>
        <v>1023476</v>
      </c>
      <c r="N60" s="538">
        <f t="shared" ref="N60" si="122">SUM(N54:N59)</f>
        <v>1097768</v>
      </c>
      <c r="O60" s="538">
        <f t="shared" ref="O60" si="123">SUM(O54:O59)</f>
        <v>1149873</v>
      </c>
      <c r="P60" s="538">
        <f t="shared" ref="P60" si="124">SUM(P54:P59)</f>
        <v>1285714</v>
      </c>
      <c r="Q60" s="538">
        <f t="shared" ref="Q60" si="125">SUM(Q54:Q59)</f>
        <v>1443243</v>
      </c>
      <c r="R60" s="538">
        <f t="shared" ref="R60" si="126">SUM(R54:R59)</f>
        <v>1627205</v>
      </c>
      <c r="S60" s="538">
        <f t="shared" ref="S60" si="127">SUM(S54:S59)</f>
        <v>1713699</v>
      </c>
      <c r="T60" s="538">
        <f t="shared" ref="T60" si="128">SUM(T54:T59)</f>
        <v>1871635</v>
      </c>
      <c r="U60" s="538">
        <f t="shared" ref="U60" si="129">SUM(U54:U59)</f>
        <v>2120255</v>
      </c>
      <c r="V60" s="538">
        <f t="shared" ref="V60" si="130">SUM(V54:V59)</f>
        <v>2153376</v>
      </c>
      <c r="W60" s="538">
        <f t="shared" ref="W60" si="131">SUM(W54:W59)</f>
        <v>2286352</v>
      </c>
      <c r="X60" s="538">
        <f t="shared" ref="X60" si="132">SUM(X54:X59)</f>
        <v>2133182</v>
      </c>
      <c r="Y60" s="538">
        <v>2214550</v>
      </c>
      <c r="Z60" s="1168">
        <f>SUM(Z54:Z59)</f>
        <v>2266903</v>
      </c>
      <c r="AC60" s="570"/>
      <c r="AD60" s="571"/>
      <c r="AE60" s="571"/>
      <c r="AF60" s="571"/>
      <c r="AG60" s="571"/>
      <c r="AH60" s="571"/>
      <c r="AI60" s="571"/>
      <c r="AJ60" s="571"/>
      <c r="AK60" s="571"/>
      <c r="AL60" s="571"/>
      <c r="AM60" s="571"/>
      <c r="AN60" s="571"/>
      <c r="AO60" s="571"/>
      <c r="AP60" s="571"/>
      <c r="AQ60" s="571"/>
      <c r="AR60" s="571"/>
      <c r="AS60" s="571"/>
      <c r="AT60" s="571"/>
      <c r="AU60" s="571"/>
      <c r="AV60" s="571"/>
      <c r="AW60" s="571"/>
      <c r="AX60" s="571"/>
      <c r="AY60" s="571"/>
      <c r="AZ60" s="572"/>
    </row>
    <row r="61" spans="2:52">
      <c r="Z61" s="952"/>
      <c r="AC61" s="570"/>
      <c r="AD61" s="571"/>
      <c r="AE61" s="571"/>
      <c r="AF61" s="571"/>
      <c r="AG61" s="571"/>
      <c r="AH61" s="571"/>
      <c r="AI61" s="571"/>
      <c r="AJ61" s="571"/>
      <c r="AK61" s="571"/>
      <c r="AL61" s="571"/>
      <c r="AM61" s="571"/>
      <c r="AN61" s="571"/>
      <c r="AO61" s="571"/>
      <c r="AP61" s="571"/>
      <c r="AQ61" s="571"/>
      <c r="AR61" s="571"/>
      <c r="AS61" s="571"/>
      <c r="AT61" s="571"/>
      <c r="AU61" s="571"/>
      <c r="AV61" s="571"/>
      <c r="AW61" s="571"/>
      <c r="AX61" s="571"/>
      <c r="AY61" s="571"/>
      <c r="AZ61" s="572"/>
    </row>
    <row r="62" spans="2:52">
      <c r="B62" s="497" t="s">
        <v>305</v>
      </c>
      <c r="C62" s="524">
        <v>1996</v>
      </c>
      <c r="D62" s="524">
        <v>1997</v>
      </c>
      <c r="E62" s="524">
        <v>1998</v>
      </c>
      <c r="F62" s="524">
        <v>1999</v>
      </c>
      <c r="G62" s="524">
        <v>2000</v>
      </c>
      <c r="H62" s="524">
        <v>2001</v>
      </c>
      <c r="I62" s="524">
        <v>2002</v>
      </c>
      <c r="J62" s="524">
        <v>2003</v>
      </c>
      <c r="K62" s="524">
        <v>2004</v>
      </c>
      <c r="L62" s="524">
        <v>2005</v>
      </c>
      <c r="M62" s="534">
        <v>2006</v>
      </c>
      <c r="N62" s="534">
        <v>2009</v>
      </c>
      <c r="O62" s="534">
        <v>2010</v>
      </c>
      <c r="P62" s="534">
        <v>2011</v>
      </c>
      <c r="Q62" s="534">
        <v>2012</v>
      </c>
      <c r="R62" s="534">
        <v>2013</v>
      </c>
      <c r="S62" s="534">
        <v>2014</v>
      </c>
      <c r="T62" s="534">
        <v>2015</v>
      </c>
      <c r="U62" s="534">
        <v>2016</v>
      </c>
      <c r="V62" s="534">
        <v>2017</v>
      </c>
      <c r="W62" s="534">
        <v>2018</v>
      </c>
      <c r="X62" s="534">
        <v>2019</v>
      </c>
      <c r="Y62" s="514">
        <v>2020</v>
      </c>
      <c r="Z62" s="1187">
        <v>2021</v>
      </c>
      <c r="AC62" s="570"/>
      <c r="AD62" s="571"/>
      <c r="AE62" s="571"/>
      <c r="AF62" s="571"/>
      <c r="AG62" s="571"/>
      <c r="AH62" s="571"/>
      <c r="AI62" s="571"/>
      <c r="AJ62" s="571"/>
      <c r="AK62" s="571"/>
      <c r="AL62" s="571"/>
      <c r="AM62" s="571"/>
      <c r="AN62" s="571"/>
      <c r="AO62" s="571"/>
      <c r="AP62" s="571"/>
      <c r="AQ62" s="571"/>
      <c r="AR62" s="571"/>
      <c r="AS62" s="571"/>
      <c r="AT62" s="571"/>
      <c r="AU62" s="571"/>
      <c r="AV62" s="571"/>
      <c r="AW62" s="571"/>
      <c r="AX62" s="571"/>
      <c r="AY62" s="571"/>
      <c r="AZ62" s="572"/>
    </row>
    <row r="63" spans="2:52">
      <c r="B63" s="551" t="s">
        <v>55</v>
      </c>
      <c r="C63" s="564"/>
      <c r="D63" s="564"/>
      <c r="E63" s="564"/>
      <c r="F63" s="564"/>
      <c r="G63" s="564"/>
      <c r="H63" s="564"/>
      <c r="I63" s="564"/>
      <c r="J63" s="564"/>
      <c r="K63" s="564"/>
      <c r="L63" s="564"/>
      <c r="M63" s="552">
        <f t="shared" ref="M63:X63" si="133">M54/M43</f>
        <v>0.57772587674936093</v>
      </c>
      <c r="N63" s="552">
        <f t="shared" si="133"/>
        <v>0.57754785269482811</v>
      </c>
      <c r="O63" s="552">
        <f t="shared" si="133"/>
        <v>0.55597958579207585</v>
      </c>
      <c r="P63" s="552">
        <f t="shared" si="133"/>
        <v>0.56065925458080312</v>
      </c>
      <c r="Q63" s="552">
        <f t="shared" si="133"/>
        <v>0.54793967096365537</v>
      </c>
      <c r="R63" s="552">
        <f t="shared" si="133"/>
        <v>0.5428245718225444</v>
      </c>
      <c r="S63" s="552">
        <f t="shared" si="133"/>
        <v>0.54388327114154356</v>
      </c>
      <c r="T63" s="552">
        <f t="shared" si="133"/>
        <v>0.52354977374789446</v>
      </c>
      <c r="U63" s="552">
        <f t="shared" si="133"/>
        <v>0.53439797763784935</v>
      </c>
      <c r="V63" s="552">
        <f t="shared" si="133"/>
        <v>0.53936379471352214</v>
      </c>
      <c r="W63" s="552">
        <f t="shared" si="133"/>
        <v>0.53205306706977484</v>
      </c>
      <c r="X63" s="552">
        <f t="shared" si="133"/>
        <v>0.53475565959937221</v>
      </c>
      <c r="Y63" s="553">
        <v>0.53462827953213954</v>
      </c>
      <c r="Z63" s="1207">
        <v>0.53</v>
      </c>
      <c r="AC63" s="570"/>
      <c r="AD63" s="571"/>
      <c r="AE63" s="571"/>
      <c r="AF63" s="571"/>
      <c r="AG63" s="571"/>
      <c r="AH63" s="571"/>
      <c r="AI63" s="571"/>
      <c r="AJ63" s="571"/>
      <c r="AK63" s="571"/>
      <c r="AL63" s="571"/>
      <c r="AM63" s="571"/>
      <c r="AN63" s="571"/>
      <c r="AO63" s="571"/>
      <c r="AP63" s="571"/>
      <c r="AQ63" s="571"/>
      <c r="AR63" s="571"/>
      <c r="AS63" s="571"/>
      <c r="AT63" s="571"/>
      <c r="AU63" s="571"/>
      <c r="AV63" s="571"/>
      <c r="AW63" s="571"/>
      <c r="AX63" s="571"/>
      <c r="AY63" s="571"/>
      <c r="AZ63" s="572"/>
    </row>
    <row r="64" spans="2:52">
      <c r="B64" s="554" t="s">
        <v>56</v>
      </c>
      <c r="C64" s="565"/>
      <c r="D64" s="565"/>
      <c r="E64" s="565"/>
      <c r="F64" s="565"/>
      <c r="G64" s="565"/>
      <c r="H64" s="565"/>
      <c r="I64" s="565"/>
      <c r="J64" s="565"/>
      <c r="K64" s="565"/>
      <c r="L64" s="565"/>
      <c r="M64" s="555">
        <f t="shared" ref="M64:X64" si="134">M55/M44</f>
        <v>0.70548726077873547</v>
      </c>
      <c r="N64" s="555">
        <f t="shared" si="134"/>
        <v>0.68447348007369335</v>
      </c>
      <c r="O64" s="555">
        <f t="shared" si="134"/>
        <v>0.67947758990610796</v>
      </c>
      <c r="P64" s="555">
        <f t="shared" si="134"/>
        <v>0.65237217075595388</v>
      </c>
      <c r="Q64" s="555">
        <f t="shared" si="134"/>
        <v>0.64382411409953089</v>
      </c>
      <c r="R64" s="555">
        <f t="shared" si="134"/>
        <v>0.64109559116760273</v>
      </c>
      <c r="S64" s="555">
        <f t="shared" si="134"/>
        <v>0.6408047703249431</v>
      </c>
      <c r="T64" s="555">
        <f t="shared" si="134"/>
        <v>0.62697667053731654</v>
      </c>
      <c r="U64" s="555">
        <f t="shared" si="134"/>
        <v>0.62825480818690926</v>
      </c>
      <c r="V64" s="555">
        <f t="shared" si="134"/>
        <v>0.62421977812894736</v>
      </c>
      <c r="W64" s="555">
        <f t="shared" si="134"/>
        <v>0.60807523270931874</v>
      </c>
      <c r="X64" s="555">
        <f t="shared" si="134"/>
        <v>0.59671604400392109</v>
      </c>
      <c r="Y64" s="556">
        <v>0.59231353585036162</v>
      </c>
      <c r="Z64" s="1207">
        <v>0.6</v>
      </c>
      <c r="AC64" s="570"/>
      <c r="AD64" s="571"/>
      <c r="AE64" s="571"/>
      <c r="AF64" s="571"/>
      <c r="AG64" s="571"/>
      <c r="AH64" s="571"/>
      <c r="AI64" s="571"/>
      <c r="AJ64" s="571"/>
      <c r="AK64" s="571"/>
      <c r="AL64" s="571"/>
      <c r="AM64" s="571"/>
      <c r="AN64" s="571"/>
      <c r="AO64" s="571"/>
      <c r="AP64" s="571"/>
      <c r="AQ64" s="571"/>
      <c r="AR64" s="571"/>
      <c r="AS64" s="571"/>
      <c r="AT64" s="571"/>
      <c r="AU64" s="571"/>
      <c r="AV64" s="571"/>
      <c r="AW64" s="571"/>
      <c r="AX64" s="571"/>
      <c r="AY64" s="571"/>
      <c r="AZ64" s="572"/>
    </row>
    <row r="65" spans="2:52">
      <c r="B65" s="554" t="s">
        <v>57</v>
      </c>
      <c r="C65" s="565"/>
      <c r="D65" s="565"/>
      <c r="E65" s="565"/>
      <c r="F65" s="565"/>
      <c r="G65" s="565"/>
      <c r="H65" s="565"/>
      <c r="I65" s="565"/>
      <c r="J65" s="565"/>
      <c r="K65" s="565"/>
      <c r="L65" s="565"/>
      <c r="M65" s="555">
        <f t="shared" ref="M65:X65" si="135">M56/M45</f>
        <v>0.7336429985590609</v>
      </c>
      <c r="N65" s="555">
        <f t="shared" si="135"/>
        <v>0.76747531155189708</v>
      </c>
      <c r="O65" s="555">
        <f t="shared" si="135"/>
        <v>0.75337111812810531</v>
      </c>
      <c r="P65" s="555">
        <f t="shared" si="135"/>
        <v>0.74866766727573308</v>
      </c>
      <c r="Q65" s="555">
        <f t="shared" si="135"/>
        <v>0.74520666828126259</v>
      </c>
      <c r="R65" s="555">
        <f t="shared" si="135"/>
        <v>0.73518983601713694</v>
      </c>
      <c r="S65" s="555">
        <f t="shared" si="135"/>
        <v>0.73364324217397758</v>
      </c>
      <c r="T65" s="555">
        <f t="shared" si="135"/>
        <v>0.72534812140870364</v>
      </c>
      <c r="U65" s="555">
        <f t="shared" si="135"/>
        <v>0.72477314136686788</v>
      </c>
      <c r="V65" s="555">
        <f t="shared" si="135"/>
        <v>0.73203237435040747</v>
      </c>
      <c r="W65" s="555">
        <f t="shared" si="135"/>
        <v>0.73509870530293731</v>
      </c>
      <c r="X65" s="555">
        <f t="shared" si="135"/>
        <v>0.728041500549096</v>
      </c>
      <c r="Y65" s="556">
        <v>0.72962734131113427</v>
      </c>
      <c r="Z65" s="1207">
        <v>0.74</v>
      </c>
      <c r="AC65" s="570"/>
      <c r="AD65" s="571"/>
      <c r="AE65" s="571"/>
      <c r="AF65" s="571"/>
      <c r="AG65" s="571"/>
      <c r="AH65" s="571"/>
      <c r="AI65" s="571"/>
      <c r="AJ65" s="571"/>
      <c r="AK65" s="571"/>
      <c r="AL65" s="571"/>
      <c r="AM65" s="571"/>
      <c r="AN65" s="571"/>
      <c r="AO65" s="571"/>
      <c r="AP65" s="571"/>
      <c r="AQ65" s="571"/>
      <c r="AR65" s="571"/>
      <c r="AS65" s="571"/>
      <c r="AT65" s="571"/>
      <c r="AU65" s="571"/>
      <c r="AV65" s="571"/>
      <c r="AW65" s="571"/>
      <c r="AX65" s="571"/>
      <c r="AY65" s="571"/>
      <c r="AZ65" s="572"/>
    </row>
    <row r="66" spans="2:52">
      <c r="B66" s="554" t="s">
        <v>58</v>
      </c>
      <c r="C66" s="565"/>
      <c r="D66" s="565"/>
      <c r="E66" s="565"/>
      <c r="F66" s="565"/>
      <c r="G66" s="565"/>
      <c r="H66" s="565"/>
      <c r="I66" s="565"/>
      <c r="J66" s="565"/>
      <c r="K66" s="565"/>
      <c r="L66" s="565"/>
      <c r="M66" s="555">
        <f t="shared" ref="M66:X66" si="136">M57/M46</f>
        <v>0.93495025066306903</v>
      </c>
      <c r="N66" s="555">
        <f t="shared" si="136"/>
        <v>0.93632194366231813</v>
      </c>
      <c r="O66" s="555">
        <f t="shared" si="136"/>
        <v>0.93425107277596986</v>
      </c>
      <c r="P66" s="555">
        <f t="shared" si="136"/>
        <v>0.94137625684907345</v>
      </c>
      <c r="Q66" s="555">
        <f t="shared" si="136"/>
        <v>0.94770974661744867</v>
      </c>
      <c r="R66" s="555">
        <f t="shared" si="136"/>
        <v>0.95298814624160377</v>
      </c>
      <c r="S66" s="555">
        <f t="shared" si="136"/>
        <v>0.95108220258794307</v>
      </c>
      <c r="T66" s="555">
        <f t="shared" si="136"/>
        <v>0.95383029567506772</v>
      </c>
      <c r="U66" s="555">
        <f t="shared" si="136"/>
        <v>0.94859242190043591</v>
      </c>
      <c r="V66" s="555">
        <f t="shared" si="136"/>
        <v>0.94431180776546464</v>
      </c>
      <c r="W66" s="555">
        <f t="shared" si="136"/>
        <v>0.94347397683293099</v>
      </c>
      <c r="X66" s="555">
        <f t="shared" si="136"/>
        <v>0.92982330135729818</v>
      </c>
      <c r="Y66" s="556">
        <v>0.92256554107895261</v>
      </c>
      <c r="Z66" s="1207">
        <v>0.92</v>
      </c>
      <c r="AC66" s="570"/>
      <c r="AD66" s="571"/>
      <c r="AE66" s="571"/>
      <c r="AF66" s="571"/>
      <c r="AG66" s="571"/>
      <c r="AH66" s="571"/>
      <c r="AI66" s="571"/>
      <c r="AJ66" s="571"/>
      <c r="AK66" s="571"/>
      <c r="AL66" s="571"/>
      <c r="AM66" s="571"/>
      <c r="AN66" s="571"/>
      <c r="AO66" s="571"/>
      <c r="AP66" s="571"/>
      <c r="AQ66" s="571"/>
      <c r="AR66" s="571"/>
      <c r="AS66" s="571"/>
      <c r="AT66" s="571"/>
      <c r="AU66" s="571"/>
      <c r="AV66" s="571"/>
      <c r="AW66" s="571"/>
      <c r="AX66" s="571"/>
      <c r="AY66" s="571"/>
      <c r="AZ66" s="572"/>
    </row>
    <row r="67" spans="2:52">
      <c r="B67" s="554" t="s">
        <v>59</v>
      </c>
      <c r="C67" s="565"/>
      <c r="D67" s="565"/>
      <c r="E67" s="565"/>
      <c r="F67" s="565"/>
      <c r="G67" s="565"/>
      <c r="H67" s="565"/>
      <c r="I67" s="565"/>
      <c r="J67" s="565"/>
      <c r="K67" s="565"/>
      <c r="L67" s="565"/>
      <c r="M67" s="555">
        <f t="shared" ref="M67:X67" si="137">M58/M47</f>
        <v>0.68246085958762304</v>
      </c>
      <c r="N67" s="555">
        <f t="shared" si="137"/>
        <v>0.70673392633275622</v>
      </c>
      <c r="O67" s="555">
        <f t="shared" si="137"/>
        <v>0.69660328454101705</v>
      </c>
      <c r="P67" s="555">
        <f t="shared" si="137"/>
        <v>0.68229215760203599</v>
      </c>
      <c r="Q67" s="555">
        <f t="shared" si="137"/>
        <v>0.68210321758868642</v>
      </c>
      <c r="R67" s="555">
        <f t="shared" si="137"/>
        <v>0.68421786663429673</v>
      </c>
      <c r="S67" s="555">
        <f t="shared" si="137"/>
        <v>0.67387751202596524</v>
      </c>
      <c r="T67" s="555">
        <f t="shared" si="137"/>
        <v>0.67894967496895775</v>
      </c>
      <c r="U67" s="555">
        <f t="shared" si="137"/>
        <v>0.67120161280097379</v>
      </c>
      <c r="V67" s="555">
        <f t="shared" si="137"/>
        <v>0.67435937875704866</v>
      </c>
      <c r="W67" s="555">
        <f t="shared" si="137"/>
        <v>0.66311588080589245</v>
      </c>
      <c r="X67" s="555">
        <f t="shared" si="137"/>
        <v>0.65662910066191915</v>
      </c>
      <c r="Y67" s="556">
        <v>0.64907298775780919</v>
      </c>
      <c r="Z67" s="1207">
        <v>0.63</v>
      </c>
      <c r="AC67" s="570"/>
      <c r="AD67" s="571"/>
      <c r="AE67" s="571"/>
      <c r="AF67" s="571"/>
      <c r="AG67" s="571"/>
      <c r="AH67" s="571"/>
      <c r="AI67" s="571"/>
      <c r="AJ67" s="571"/>
      <c r="AK67" s="571"/>
      <c r="AL67" s="571"/>
      <c r="AM67" s="571"/>
      <c r="AN67" s="571"/>
      <c r="AO67" s="571"/>
      <c r="AP67" s="571"/>
      <c r="AQ67" s="571"/>
      <c r="AR67" s="571"/>
      <c r="AS67" s="571"/>
      <c r="AT67" s="571"/>
      <c r="AU67" s="571"/>
      <c r="AV67" s="571"/>
      <c r="AW67" s="571"/>
      <c r="AX67" s="571"/>
      <c r="AY67" s="571"/>
      <c r="AZ67" s="572"/>
    </row>
    <row r="68" spans="2:52">
      <c r="B68" s="501" t="s">
        <v>51</v>
      </c>
      <c r="C68" s="563"/>
      <c r="D68" s="563"/>
      <c r="E68" s="563"/>
      <c r="F68" s="563"/>
      <c r="G68" s="563"/>
      <c r="H68" s="563"/>
      <c r="I68" s="563"/>
      <c r="J68" s="563"/>
      <c r="K68" s="563"/>
      <c r="L68" s="563"/>
      <c r="M68" s="550">
        <f t="shared" ref="M68:X68" si="138">M59/M48</f>
        <v>0.52645295600043829</v>
      </c>
      <c r="N68" s="550">
        <f t="shared" si="138"/>
        <v>0.60565930956423319</v>
      </c>
      <c r="O68" s="550">
        <f t="shared" si="138"/>
        <v>0.53664187380362072</v>
      </c>
      <c r="P68" s="550">
        <f t="shared" si="138"/>
        <v>0.52089923262600424</v>
      </c>
      <c r="Q68" s="550">
        <f t="shared" si="138"/>
        <v>0.53709573491795914</v>
      </c>
      <c r="R68" s="550">
        <f t="shared" si="138"/>
        <v>0.5489650608463339</v>
      </c>
      <c r="S68" s="550">
        <f t="shared" si="138"/>
        <v>0.53531621830133413</v>
      </c>
      <c r="T68" s="550">
        <f t="shared" si="138"/>
        <v>0.5113487311092102</v>
      </c>
      <c r="U68" s="550">
        <f t="shared" si="138"/>
        <v>0.54292802228021109</v>
      </c>
      <c r="V68" s="550">
        <f t="shared" si="138"/>
        <v>0.53322054752383885</v>
      </c>
      <c r="W68" s="550">
        <f t="shared" si="138"/>
        <v>0.52120549001377603</v>
      </c>
      <c r="X68" s="550">
        <f t="shared" si="138"/>
        <v>0.47452082350440422</v>
      </c>
      <c r="Y68" s="503">
        <v>0.51150368117797695</v>
      </c>
      <c r="Z68" s="1208">
        <v>0.47</v>
      </c>
      <c r="AC68" s="570"/>
      <c r="AD68" s="571"/>
      <c r="AE68" s="571"/>
      <c r="AF68" s="571"/>
      <c r="AG68" s="571"/>
      <c r="AH68" s="571"/>
      <c r="AI68" s="571"/>
      <c r="AJ68" s="571"/>
      <c r="AK68" s="571"/>
      <c r="AL68" s="571"/>
      <c r="AM68" s="571"/>
      <c r="AN68" s="571"/>
      <c r="AO68" s="571"/>
      <c r="AP68" s="571"/>
      <c r="AQ68" s="571"/>
      <c r="AR68" s="571"/>
      <c r="AS68" s="571"/>
      <c r="AT68" s="571"/>
      <c r="AU68" s="571"/>
      <c r="AV68" s="571"/>
      <c r="AW68" s="571"/>
      <c r="AX68" s="571"/>
      <c r="AY68" s="571"/>
      <c r="AZ68" s="572"/>
    </row>
    <row r="69" spans="2:52">
      <c r="AC69" s="570"/>
      <c r="AD69" s="571"/>
      <c r="AE69" s="571"/>
      <c r="AF69" s="571"/>
      <c r="AG69" s="571"/>
      <c r="AH69" s="571"/>
      <c r="AI69" s="571"/>
      <c r="AJ69" s="571"/>
      <c r="AK69" s="571"/>
      <c r="AL69" s="571"/>
      <c r="AM69" s="571"/>
      <c r="AN69" s="571"/>
      <c r="AO69" s="571"/>
      <c r="AP69" s="571"/>
      <c r="AQ69" s="571"/>
      <c r="AR69" s="571"/>
      <c r="AS69" s="571"/>
      <c r="AT69" s="571"/>
      <c r="AU69" s="571"/>
      <c r="AV69" s="571"/>
      <c r="AW69" s="571"/>
      <c r="AX69" s="571"/>
      <c r="AY69" s="571"/>
      <c r="AZ69" s="572"/>
    </row>
    <row r="70" spans="2:52">
      <c r="AC70" s="570"/>
      <c r="AD70" s="571"/>
      <c r="AE70" s="571"/>
      <c r="AF70" s="571"/>
      <c r="AG70" s="571"/>
      <c r="AH70" s="571"/>
      <c r="AI70" s="571"/>
      <c r="AJ70" s="571"/>
      <c r="AK70" s="571"/>
      <c r="AL70" s="571"/>
      <c r="AM70" s="571"/>
      <c r="AN70" s="571"/>
      <c r="AO70" s="571"/>
      <c r="AP70" s="571"/>
      <c r="AQ70" s="571"/>
      <c r="AR70" s="571"/>
      <c r="AS70" s="571"/>
      <c r="AT70" s="571"/>
      <c r="AU70" s="571"/>
      <c r="AV70" s="571"/>
      <c r="AW70" s="571"/>
      <c r="AX70" s="571"/>
      <c r="AY70" s="571"/>
      <c r="AZ70" s="572"/>
    </row>
    <row r="71" spans="2:52">
      <c r="AC71" s="570"/>
      <c r="AD71" s="571"/>
      <c r="AE71" s="571"/>
      <c r="AF71" s="571"/>
      <c r="AG71" s="571"/>
      <c r="AH71" s="571"/>
      <c r="AI71" s="571"/>
      <c r="AJ71" s="571"/>
      <c r="AK71" s="571"/>
      <c r="AL71" s="571"/>
      <c r="AM71" s="571"/>
      <c r="AN71" s="571"/>
      <c r="AO71" s="571"/>
      <c r="AP71" s="571"/>
      <c r="AQ71" s="571"/>
      <c r="AR71" s="571"/>
      <c r="AS71" s="571"/>
      <c r="AT71" s="571"/>
      <c r="AU71" s="571"/>
      <c r="AV71" s="571"/>
      <c r="AW71" s="571"/>
      <c r="AX71" s="571"/>
      <c r="AY71" s="571"/>
      <c r="AZ71" s="572"/>
    </row>
    <row r="72" spans="2:52">
      <c r="AC72" s="570"/>
      <c r="AD72" s="571"/>
      <c r="AE72" s="571"/>
      <c r="AF72" s="571"/>
      <c r="AG72" s="571"/>
      <c r="AH72" s="571"/>
      <c r="AI72" s="571"/>
      <c r="AJ72" s="571"/>
      <c r="AK72" s="571"/>
      <c r="AL72" s="571"/>
      <c r="AM72" s="571"/>
      <c r="AN72" s="571"/>
      <c r="AO72" s="571"/>
      <c r="AP72" s="571"/>
      <c r="AQ72" s="571"/>
      <c r="AR72" s="571"/>
      <c r="AS72" s="571"/>
      <c r="AT72" s="571"/>
      <c r="AU72" s="571"/>
      <c r="AV72" s="571"/>
      <c r="AW72" s="571"/>
      <c r="AX72" s="571"/>
      <c r="AY72" s="571"/>
      <c r="AZ72" s="572"/>
    </row>
    <row r="73" spans="2:52">
      <c r="AC73" s="570"/>
      <c r="AD73" s="571"/>
      <c r="AE73" s="571"/>
      <c r="AF73" s="571"/>
      <c r="AG73" s="571"/>
      <c r="AH73" s="571"/>
      <c r="AI73" s="571"/>
      <c r="AJ73" s="571"/>
      <c r="AK73" s="571"/>
      <c r="AL73" s="571"/>
      <c r="AM73" s="571"/>
      <c r="AN73" s="571"/>
      <c r="AO73" s="571"/>
      <c r="AP73" s="571"/>
      <c r="AQ73" s="571"/>
      <c r="AR73" s="571"/>
      <c r="AS73" s="571"/>
      <c r="AT73" s="571"/>
      <c r="AU73" s="571"/>
      <c r="AV73" s="571"/>
      <c r="AW73" s="571"/>
      <c r="AX73" s="571"/>
      <c r="AY73" s="571"/>
      <c r="AZ73" s="572"/>
    </row>
    <row r="74" spans="2:52">
      <c r="AC74" s="570"/>
      <c r="AD74" s="571"/>
      <c r="AE74" s="571"/>
      <c r="AF74" s="571"/>
      <c r="AG74" s="571"/>
      <c r="AH74" s="571"/>
      <c r="AI74" s="571"/>
      <c r="AJ74" s="571"/>
      <c r="AK74" s="571"/>
      <c r="AL74" s="571"/>
      <c r="AM74" s="571"/>
      <c r="AN74" s="571"/>
      <c r="AO74" s="571"/>
      <c r="AP74" s="571"/>
      <c r="AQ74" s="571"/>
      <c r="AR74" s="571"/>
      <c r="AS74" s="571"/>
      <c r="AT74" s="571"/>
      <c r="AU74" s="571"/>
      <c r="AV74" s="571"/>
      <c r="AW74" s="571"/>
      <c r="AX74" s="571"/>
      <c r="AY74" s="571"/>
      <c r="AZ74" s="572"/>
    </row>
    <row r="75" spans="2:52">
      <c r="AC75" s="570"/>
      <c r="AD75" s="571"/>
      <c r="AE75" s="571"/>
      <c r="AF75" s="571"/>
      <c r="AG75" s="571"/>
      <c r="AH75" s="571"/>
      <c r="AI75" s="571"/>
      <c r="AJ75" s="571"/>
      <c r="AK75" s="571"/>
      <c r="AL75" s="571"/>
      <c r="AM75" s="571"/>
      <c r="AN75" s="571"/>
      <c r="AO75" s="571"/>
      <c r="AP75" s="571"/>
      <c r="AQ75" s="571"/>
      <c r="AR75" s="571"/>
      <c r="AS75" s="571"/>
      <c r="AT75" s="571"/>
      <c r="AU75" s="571"/>
      <c r="AV75" s="571"/>
      <c r="AW75" s="571"/>
      <c r="AX75" s="571"/>
      <c r="AY75" s="571"/>
      <c r="AZ75" s="572"/>
    </row>
    <row r="76" spans="2:52">
      <c r="AC76" s="570"/>
      <c r="AD76" s="571"/>
      <c r="AE76" s="571"/>
      <c r="AF76" s="571"/>
      <c r="AG76" s="571"/>
      <c r="AH76" s="571"/>
      <c r="AI76" s="571"/>
      <c r="AJ76" s="571"/>
      <c r="AK76" s="571"/>
      <c r="AL76" s="571"/>
      <c r="AM76" s="571"/>
      <c r="AN76" s="571"/>
      <c r="AO76" s="571"/>
      <c r="AP76" s="571"/>
      <c r="AQ76" s="571"/>
      <c r="AR76" s="571"/>
      <c r="AS76" s="571"/>
      <c r="AT76" s="571"/>
      <c r="AU76" s="571"/>
      <c r="AV76" s="571"/>
      <c r="AW76" s="571"/>
      <c r="AX76" s="571"/>
      <c r="AY76" s="571"/>
      <c r="AZ76" s="572"/>
    </row>
    <row r="77" spans="2:52">
      <c r="AC77" s="570"/>
      <c r="AD77" s="571"/>
      <c r="AE77" s="571"/>
      <c r="AF77" s="571"/>
      <c r="AG77" s="571"/>
      <c r="AH77" s="571"/>
      <c r="AI77" s="571"/>
      <c r="AJ77" s="571"/>
      <c r="AK77" s="571"/>
      <c r="AL77" s="571"/>
      <c r="AM77" s="571"/>
      <c r="AN77" s="571"/>
      <c r="AO77" s="571"/>
      <c r="AP77" s="571"/>
      <c r="AQ77" s="571"/>
      <c r="AR77" s="571"/>
      <c r="AS77" s="571"/>
      <c r="AT77" s="571"/>
      <c r="AU77" s="571"/>
      <c r="AV77" s="571"/>
      <c r="AW77" s="571"/>
      <c r="AX77" s="571"/>
      <c r="AY77" s="571"/>
      <c r="AZ77" s="572"/>
    </row>
    <row r="78" spans="2:52">
      <c r="AC78" s="570"/>
      <c r="AD78" s="571"/>
      <c r="AE78" s="571"/>
      <c r="AF78" s="571"/>
      <c r="AG78" s="571"/>
      <c r="AH78" s="571"/>
      <c r="AI78" s="571"/>
      <c r="AJ78" s="571"/>
      <c r="AK78" s="571"/>
      <c r="AL78" s="571"/>
      <c r="AM78" s="571"/>
      <c r="AN78" s="571"/>
      <c r="AO78" s="571"/>
      <c r="AP78" s="571"/>
      <c r="AQ78" s="571"/>
      <c r="AR78" s="571"/>
      <c r="AS78" s="571"/>
      <c r="AT78" s="571"/>
      <c r="AU78" s="571"/>
      <c r="AV78" s="571"/>
      <c r="AW78" s="571"/>
      <c r="AX78" s="571"/>
      <c r="AY78" s="571"/>
      <c r="AZ78" s="572"/>
    </row>
    <row r="79" spans="2:52">
      <c r="AC79" s="570"/>
      <c r="AD79" s="571"/>
      <c r="AE79" s="571"/>
      <c r="AF79" s="571"/>
      <c r="AG79" s="571"/>
      <c r="AH79" s="571"/>
      <c r="AI79" s="571"/>
      <c r="AJ79" s="571"/>
      <c r="AK79" s="571"/>
      <c r="AL79" s="571"/>
      <c r="AM79" s="571"/>
      <c r="AN79" s="571"/>
      <c r="AO79" s="571"/>
      <c r="AP79" s="571"/>
      <c r="AQ79" s="571"/>
      <c r="AR79" s="571"/>
      <c r="AS79" s="571"/>
      <c r="AT79" s="571"/>
      <c r="AU79" s="571"/>
      <c r="AV79" s="571"/>
      <c r="AW79" s="571"/>
      <c r="AX79" s="571"/>
      <c r="AY79" s="571"/>
      <c r="AZ79" s="572"/>
    </row>
    <row r="80" spans="2:52">
      <c r="AC80" s="570"/>
      <c r="AD80" s="571"/>
      <c r="AE80" s="571"/>
      <c r="AF80" s="571"/>
      <c r="AG80" s="571"/>
      <c r="AH80" s="571"/>
      <c r="AI80" s="571"/>
      <c r="AJ80" s="571"/>
      <c r="AK80" s="571"/>
      <c r="AL80" s="571"/>
      <c r="AM80" s="571"/>
      <c r="AN80" s="571"/>
      <c r="AO80" s="571"/>
      <c r="AP80" s="571"/>
      <c r="AQ80" s="571"/>
      <c r="AR80" s="571"/>
      <c r="AS80" s="571"/>
      <c r="AT80" s="571"/>
      <c r="AU80" s="571"/>
      <c r="AV80" s="571"/>
      <c r="AW80" s="571"/>
      <c r="AX80" s="571"/>
      <c r="AY80" s="571"/>
      <c r="AZ80" s="572"/>
    </row>
    <row r="81" spans="29:52">
      <c r="AC81" s="570"/>
      <c r="AD81" s="571"/>
      <c r="AE81" s="571"/>
      <c r="AF81" s="571"/>
      <c r="AG81" s="571"/>
      <c r="AH81" s="571"/>
      <c r="AI81" s="571"/>
      <c r="AJ81" s="571"/>
      <c r="AK81" s="571"/>
      <c r="AL81" s="571"/>
      <c r="AM81" s="571"/>
      <c r="AN81" s="571"/>
      <c r="AO81" s="571"/>
      <c r="AP81" s="571"/>
      <c r="AQ81" s="571"/>
      <c r="AR81" s="571"/>
      <c r="AS81" s="571"/>
      <c r="AT81" s="571"/>
      <c r="AU81" s="571"/>
      <c r="AV81" s="571"/>
      <c r="AW81" s="571"/>
      <c r="AX81" s="571"/>
      <c r="AY81" s="571"/>
      <c r="AZ81" s="572"/>
    </row>
    <row r="82" spans="29:52">
      <c r="AC82" s="570"/>
      <c r="AD82" s="571"/>
      <c r="AE82" s="571"/>
      <c r="AF82" s="571"/>
      <c r="AG82" s="571"/>
      <c r="AH82" s="571"/>
      <c r="AI82" s="571"/>
      <c r="AJ82" s="571"/>
      <c r="AK82" s="571"/>
      <c r="AL82" s="571"/>
      <c r="AM82" s="571"/>
      <c r="AN82" s="571"/>
      <c r="AO82" s="571"/>
      <c r="AP82" s="571"/>
      <c r="AQ82" s="571"/>
      <c r="AR82" s="571"/>
      <c r="AS82" s="571"/>
      <c r="AT82" s="571"/>
      <c r="AU82" s="571"/>
      <c r="AV82" s="571"/>
      <c r="AW82" s="571"/>
      <c r="AX82" s="571"/>
      <c r="AY82" s="571"/>
      <c r="AZ82" s="572"/>
    </row>
    <row r="83" spans="29:52">
      <c r="AC83" s="570"/>
      <c r="AD83" s="571"/>
      <c r="AE83" s="571"/>
      <c r="AF83" s="571"/>
      <c r="AG83" s="571"/>
      <c r="AH83" s="571"/>
      <c r="AI83" s="571"/>
      <c r="AJ83" s="571"/>
      <c r="AK83" s="571"/>
      <c r="AL83" s="571"/>
      <c r="AM83" s="571"/>
      <c r="AN83" s="571"/>
      <c r="AO83" s="571"/>
      <c r="AP83" s="571"/>
      <c r="AQ83" s="571"/>
      <c r="AR83" s="571"/>
      <c r="AS83" s="571"/>
      <c r="AT83" s="571"/>
      <c r="AU83" s="571"/>
      <c r="AV83" s="571"/>
      <c r="AW83" s="571"/>
      <c r="AX83" s="571"/>
      <c r="AY83" s="571"/>
      <c r="AZ83" s="572"/>
    </row>
    <row r="84" spans="29:52">
      <c r="AC84" s="570"/>
      <c r="AD84" s="571"/>
      <c r="AE84" s="571"/>
      <c r="AF84" s="571"/>
      <c r="AG84" s="571"/>
      <c r="AH84" s="571"/>
      <c r="AI84" s="571"/>
      <c r="AJ84" s="571"/>
      <c r="AK84" s="571"/>
      <c r="AL84" s="571"/>
      <c r="AM84" s="571"/>
      <c r="AN84" s="571"/>
      <c r="AO84" s="571"/>
      <c r="AP84" s="571"/>
      <c r="AQ84" s="571"/>
      <c r="AR84" s="571"/>
      <c r="AS84" s="571"/>
      <c r="AT84" s="571"/>
      <c r="AU84" s="571"/>
      <c r="AV84" s="571"/>
      <c r="AW84" s="571"/>
      <c r="AX84" s="571"/>
      <c r="AY84" s="571"/>
      <c r="AZ84" s="572"/>
    </row>
    <row r="85" spans="29:52">
      <c r="AC85" s="570"/>
      <c r="AD85" s="571"/>
      <c r="AE85" s="571"/>
      <c r="AF85" s="571"/>
      <c r="AG85" s="571"/>
      <c r="AH85" s="571"/>
      <c r="AI85" s="571"/>
      <c r="AJ85" s="571"/>
      <c r="AK85" s="571"/>
      <c r="AL85" s="571"/>
      <c r="AM85" s="571"/>
      <c r="AN85" s="571"/>
      <c r="AO85" s="571"/>
      <c r="AP85" s="571"/>
      <c r="AQ85" s="571"/>
      <c r="AR85" s="571"/>
      <c r="AS85" s="571"/>
      <c r="AT85" s="571"/>
      <c r="AU85" s="571"/>
      <c r="AV85" s="571"/>
      <c r="AW85" s="571"/>
      <c r="AX85" s="571"/>
      <c r="AY85" s="571"/>
      <c r="AZ85" s="572"/>
    </row>
    <row r="86" spans="29:52">
      <c r="AC86" s="573"/>
      <c r="AD86" s="574"/>
      <c r="AE86" s="574"/>
      <c r="AF86" s="574"/>
      <c r="AG86" s="574"/>
      <c r="AH86" s="574"/>
      <c r="AI86" s="574"/>
      <c r="AJ86" s="574"/>
      <c r="AK86" s="574"/>
      <c r="AL86" s="574"/>
      <c r="AM86" s="574"/>
      <c r="AN86" s="574"/>
      <c r="AO86" s="574"/>
      <c r="AP86" s="574"/>
      <c r="AQ86" s="574"/>
      <c r="AR86" s="574"/>
      <c r="AS86" s="574"/>
      <c r="AT86" s="574"/>
      <c r="AU86" s="574"/>
      <c r="AV86" s="574"/>
      <c r="AW86" s="574"/>
      <c r="AX86" s="574"/>
      <c r="AY86" s="574"/>
      <c r="AZ86" s="575"/>
    </row>
  </sheetData>
  <hyperlinks>
    <hyperlink ref="Z1" location="Content!A1" display="ToC" xr:uid="{ACF8BA1C-1A19-48D6-962A-A88768848D2F}"/>
  </hyperlinks>
  <pageMargins left="0.7" right="0.7" top="0.75" bottom="0.75" header="0.3" footer="0.3"/>
  <pageSetup orientation="portrait" r:id="rId1"/>
  <ignoredErrors>
    <ignoredError sqref="Z3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2EF4-1B44-4689-9CD2-7AEF9FB3EB1A}">
  <dimension ref="A1:S12"/>
  <sheetViews>
    <sheetView zoomScale="80" zoomScaleNormal="80" workbookViewId="0">
      <selection activeCell="P12" sqref="P12"/>
    </sheetView>
  </sheetViews>
  <sheetFormatPr defaultRowHeight="15"/>
  <cols>
    <col min="1" max="1" width="22.42578125" customWidth="1"/>
    <col min="2" max="18" width="9.7109375" customWidth="1"/>
    <col min="19" max="19" width="10.7109375" customWidth="1"/>
  </cols>
  <sheetData>
    <row r="1" spans="1:19" ht="21">
      <c r="A1" s="496" t="s">
        <v>32</v>
      </c>
      <c r="S1" s="888" t="s">
        <v>458</v>
      </c>
    </row>
    <row r="2" spans="1:19" ht="18.75">
      <c r="A2" s="495" t="s">
        <v>294</v>
      </c>
    </row>
    <row r="3" spans="1:19" ht="18.75">
      <c r="A3" s="495" t="s">
        <v>309</v>
      </c>
    </row>
    <row r="4" spans="1:19">
      <c r="S4" s="1086"/>
    </row>
    <row r="5" spans="1:19">
      <c r="A5" s="534" t="s">
        <v>53</v>
      </c>
      <c r="B5" s="534">
        <v>2004</v>
      </c>
      <c r="C5" s="534">
        <v>2005</v>
      </c>
      <c r="D5" s="534">
        <v>2006</v>
      </c>
      <c r="E5" s="534">
        <v>2007</v>
      </c>
      <c r="F5" s="534">
        <v>2008</v>
      </c>
      <c r="G5" s="534">
        <v>2009</v>
      </c>
      <c r="H5" s="534">
        <v>2010</v>
      </c>
      <c r="I5" s="534">
        <v>2011</v>
      </c>
      <c r="J5" s="534">
        <v>2012</v>
      </c>
      <c r="K5" s="534">
        <v>2013</v>
      </c>
      <c r="L5" s="534">
        <v>2014</v>
      </c>
      <c r="M5" s="534">
        <v>2015</v>
      </c>
      <c r="N5" s="534">
        <v>2016</v>
      </c>
      <c r="O5" s="534">
        <v>2017</v>
      </c>
      <c r="P5" s="534">
        <v>2018</v>
      </c>
      <c r="Q5" s="534">
        <v>2019</v>
      </c>
      <c r="R5" s="534">
        <v>2020</v>
      </c>
      <c r="S5" s="1187">
        <v>2021</v>
      </c>
    </row>
    <row r="6" spans="1:19">
      <c r="A6" s="544" t="s">
        <v>55</v>
      </c>
      <c r="B6" s="547">
        <v>127112</v>
      </c>
      <c r="C6" s="547">
        <v>126652</v>
      </c>
      <c r="D6" s="547">
        <v>129229</v>
      </c>
      <c r="E6" s="547">
        <v>131364</v>
      </c>
      <c r="F6" s="547">
        <v>132401</v>
      </c>
      <c r="G6" s="547">
        <v>132568</v>
      </c>
      <c r="H6" s="547">
        <v>117916</v>
      </c>
      <c r="I6" s="547">
        <v>124435</v>
      </c>
      <c r="J6" s="547">
        <v>126222</v>
      </c>
      <c r="K6" s="547">
        <v>127188</v>
      </c>
      <c r="L6" s="547">
        <v>128438</v>
      </c>
      <c r="M6" s="547">
        <v>127357</v>
      </c>
      <c r="N6" s="547">
        <v>130034.25</v>
      </c>
      <c r="O6" s="547">
        <v>130216</v>
      </c>
      <c r="P6" s="547">
        <v>130840</v>
      </c>
      <c r="Q6" s="547">
        <v>134118</v>
      </c>
      <c r="R6" s="547">
        <v>129364</v>
      </c>
      <c r="S6" s="1108">
        <v>126554</v>
      </c>
    </row>
    <row r="7" spans="1:19">
      <c r="A7" s="545" t="s">
        <v>56</v>
      </c>
      <c r="B7" s="548">
        <v>362342</v>
      </c>
      <c r="C7" s="548">
        <v>359382</v>
      </c>
      <c r="D7" s="548">
        <v>336013</v>
      </c>
      <c r="E7" s="548">
        <v>321375</v>
      </c>
      <c r="F7" s="548">
        <v>317528</v>
      </c>
      <c r="G7" s="548">
        <v>282359</v>
      </c>
      <c r="H7" s="548">
        <v>276156</v>
      </c>
      <c r="I7" s="548">
        <v>271683</v>
      </c>
      <c r="J7" s="548">
        <v>269132</v>
      </c>
      <c r="K7" s="548">
        <v>252391</v>
      </c>
      <c r="L7" s="548">
        <v>245343</v>
      </c>
      <c r="M7" s="548">
        <v>237574</v>
      </c>
      <c r="N7" s="548">
        <v>238167</v>
      </c>
      <c r="O7" s="548">
        <v>236216</v>
      </c>
      <c r="P7" s="548">
        <v>228705</v>
      </c>
      <c r="Q7" s="548">
        <v>219138</v>
      </c>
      <c r="R7" s="548">
        <v>200385</v>
      </c>
      <c r="S7" s="1166">
        <v>194630</v>
      </c>
    </row>
    <row r="8" spans="1:19">
      <c r="A8" s="545" t="s">
        <v>57</v>
      </c>
      <c r="B8" s="548">
        <v>105027</v>
      </c>
      <c r="C8" s="548">
        <v>121942</v>
      </c>
      <c r="D8" s="548">
        <v>125249</v>
      </c>
      <c r="E8" s="548">
        <v>128438</v>
      </c>
      <c r="F8" s="548">
        <v>126691</v>
      </c>
      <c r="G8" s="548">
        <v>126988</v>
      </c>
      <c r="H8" s="548">
        <v>131461</v>
      </c>
      <c r="I8" s="548">
        <v>137671</v>
      </c>
      <c r="J8" s="548">
        <v>147694</v>
      </c>
      <c r="K8" s="548">
        <v>159248</v>
      </c>
      <c r="L8" s="548">
        <v>163185</v>
      </c>
      <c r="M8" s="548">
        <v>166376</v>
      </c>
      <c r="N8" s="548">
        <v>162297</v>
      </c>
      <c r="O8" s="548">
        <v>158190</v>
      </c>
      <c r="P8" s="548">
        <v>161646</v>
      </c>
      <c r="Q8" s="548">
        <v>170377</v>
      </c>
      <c r="R8" s="548">
        <v>179500</v>
      </c>
      <c r="S8" s="1166">
        <v>184746</v>
      </c>
    </row>
    <row r="9" spans="1:19">
      <c r="A9" s="545" t="s">
        <v>58</v>
      </c>
      <c r="B9" s="548">
        <v>65586</v>
      </c>
      <c r="C9" s="548">
        <v>93172</v>
      </c>
      <c r="D9" s="548">
        <v>121968</v>
      </c>
      <c r="E9" s="548">
        <v>152299</v>
      </c>
      <c r="F9" s="548">
        <v>194005</v>
      </c>
      <c r="G9" s="548">
        <v>228456</v>
      </c>
      <c r="H9" s="548">
        <v>291960</v>
      </c>
      <c r="I9" s="548">
        <v>413540</v>
      </c>
      <c r="J9" s="548">
        <v>533245</v>
      </c>
      <c r="K9" s="548">
        <v>702013</v>
      </c>
      <c r="L9" s="548">
        <v>798074</v>
      </c>
      <c r="M9" s="548">
        <v>965137</v>
      </c>
      <c r="N9" s="548">
        <v>1200383</v>
      </c>
      <c r="O9" s="548">
        <v>1245128</v>
      </c>
      <c r="P9" s="548">
        <v>1393195</v>
      </c>
      <c r="Q9" s="548">
        <v>1242826</v>
      </c>
      <c r="R9" s="548">
        <v>1344166</v>
      </c>
      <c r="S9" s="1166">
        <v>1425749</v>
      </c>
    </row>
    <row r="10" spans="1:19">
      <c r="A10" s="545" t="s">
        <v>59</v>
      </c>
      <c r="B10" s="548">
        <v>185008</v>
      </c>
      <c r="C10" s="548">
        <v>202776</v>
      </c>
      <c r="D10" s="548">
        <v>215904</v>
      </c>
      <c r="E10" s="548">
        <v>234043</v>
      </c>
      <c r="F10" s="548">
        <v>223045</v>
      </c>
      <c r="G10" s="548">
        <v>213093</v>
      </c>
      <c r="H10" s="548">
        <v>227907</v>
      </c>
      <c r="I10" s="548">
        <v>231630</v>
      </c>
      <c r="J10" s="548">
        <v>250617</v>
      </c>
      <c r="K10" s="548">
        <v>264923</v>
      </c>
      <c r="L10" s="548">
        <v>260984</v>
      </c>
      <c r="M10" s="548">
        <v>260274</v>
      </c>
      <c r="N10" s="548">
        <v>264685</v>
      </c>
      <c r="O10" s="548">
        <v>260824</v>
      </c>
      <c r="P10" s="548">
        <v>250372</v>
      </c>
      <c r="Q10" s="548">
        <v>248498</v>
      </c>
      <c r="R10" s="548">
        <v>232914</v>
      </c>
      <c r="S10" s="1166">
        <v>224805</v>
      </c>
    </row>
    <row r="11" spans="1:19">
      <c r="A11" s="546" t="s">
        <v>51</v>
      </c>
      <c r="B11" s="549">
        <v>53106</v>
      </c>
      <c r="C11" s="549">
        <v>50285</v>
      </c>
      <c r="D11" s="549">
        <v>67018</v>
      </c>
      <c r="E11" s="549">
        <v>54347</v>
      </c>
      <c r="F11" s="549">
        <v>108544</v>
      </c>
      <c r="G11" s="549">
        <v>90607</v>
      </c>
      <c r="H11" s="549">
        <v>75585</v>
      </c>
      <c r="I11" s="549">
        <v>71808</v>
      </c>
      <c r="J11" s="549">
        <v>80343</v>
      </c>
      <c r="K11" s="549">
        <v>88645</v>
      </c>
      <c r="L11" s="549">
        <v>84315</v>
      </c>
      <c r="M11" s="549">
        <v>88691</v>
      </c>
      <c r="N11" s="549">
        <v>91795</v>
      </c>
      <c r="O11" s="549">
        <v>89036</v>
      </c>
      <c r="P11" s="549">
        <v>90428</v>
      </c>
      <c r="Q11" s="549">
        <v>90090</v>
      </c>
      <c r="R11" s="549">
        <v>94995</v>
      </c>
      <c r="S11" s="1167">
        <v>83900</v>
      </c>
    </row>
    <row r="12" spans="1:19">
      <c r="A12" s="526" t="s">
        <v>52</v>
      </c>
      <c r="B12" s="538">
        <v>898181</v>
      </c>
      <c r="C12" s="538">
        <v>954209</v>
      </c>
      <c r="D12" s="538">
        <v>995381</v>
      </c>
      <c r="E12" s="538">
        <v>1021866</v>
      </c>
      <c r="F12" s="538">
        <v>1102214</v>
      </c>
      <c r="G12" s="538">
        <v>1074071</v>
      </c>
      <c r="H12" s="538">
        <v>1120985</v>
      </c>
      <c r="I12" s="538">
        <v>1250767</v>
      </c>
      <c r="J12" s="538">
        <v>1407253</v>
      </c>
      <c r="K12" s="538">
        <v>1594408</v>
      </c>
      <c r="L12" s="538">
        <v>1680339</v>
      </c>
      <c r="M12" s="538">
        <v>1845409</v>
      </c>
      <c r="N12" s="538">
        <v>2087361.25</v>
      </c>
      <c r="O12" s="538">
        <v>2119610</v>
      </c>
      <c r="P12" s="538">
        <v>2255186</v>
      </c>
      <c r="Q12" s="538">
        <v>2105047</v>
      </c>
      <c r="R12" s="538">
        <v>2181324</v>
      </c>
      <c r="S12" s="1168">
        <f>SUM(S6:S11)</f>
        <v>2240384</v>
      </c>
    </row>
  </sheetData>
  <hyperlinks>
    <hyperlink ref="S1" location="Content!A1" display="ToC" xr:uid="{226AD52F-B37B-4030-8A0B-BE663D192550}"/>
  </hyperlinks>
  <pageMargins left="0.7" right="0.7" top="0.75" bottom="0.75" header="0.3" footer="0.3"/>
  <pageSetup orientation="portrait" r:id="rId1"/>
  <ignoredErrors>
    <ignoredError sqref="S1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DA2D-921C-4160-9261-B95F2960F516}">
  <dimension ref="A1:Z139"/>
  <sheetViews>
    <sheetView zoomScale="80" zoomScaleNormal="80" workbookViewId="0">
      <pane xSplit="3" ySplit="6" topLeftCell="D7" activePane="bottomRight" state="frozenSplit"/>
      <selection pane="topRight" activeCell="T4" sqref="T4"/>
      <selection pane="bottomLeft" activeCell="A13" sqref="A13"/>
      <selection pane="bottomRight" activeCell="D7" sqref="D7"/>
    </sheetView>
  </sheetViews>
  <sheetFormatPr defaultRowHeight="15"/>
  <cols>
    <col min="1" max="1" width="10.28515625" customWidth="1"/>
    <col min="2" max="2" width="13.28515625" customWidth="1"/>
    <col min="3" max="3" width="13.42578125" customWidth="1"/>
    <col min="4" max="16" width="9.7109375" customWidth="1"/>
    <col min="17" max="17" width="9.7109375" style="1289" customWidth="1"/>
    <col min="18" max="20" width="9.7109375" customWidth="1"/>
    <col min="21" max="21" width="9.85546875" customWidth="1"/>
  </cols>
  <sheetData>
    <row r="1" spans="1:21" ht="21">
      <c r="A1" s="496" t="s">
        <v>32</v>
      </c>
      <c r="U1" s="888" t="s">
        <v>458</v>
      </c>
    </row>
    <row r="2" spans="1:21" ht="18.75">
      <c r="A2" s="495" t="s">
        <v>294</v>
      </c>
    </row>
    <row r="3" spans="1:21" ht="18.75">
      <c r="A3" s="495" t="s">
        <v>313</v>
      </c>
    </row>
    <row r="4" spans="1:21" ht="18.75">
      <c r="A4" s="495" t="s">
        <v>312</v>
      </c>
    </row>
    <row r="6" spans="1:21">
      <c r="A6" s="497" t="s">
        <v>53</v>
      </c>
      <c r="B6" s="579" t="s">
        <v>215</v>
      </c>
      <c r="C6" s="579" t="s">
        <v>310</v>
      </c>
      <c r="D6" s="579">
        <v>2004</v>
      </c>
      <c r="E6" s="579">
        <v>2005</v>
      </c>
      <c r="F6" s="579">
        <v>2006</v>
      </c>
      <c r="G6" s="579">
        <v>2007</v>
      </c>
      <c r="H6" s="579">
        <v>2008</v>
      </c>
      <c r="I6" s="579">
        <v>2009</v>
      </c>
      <c r="J6" s="579">
        <v>2010</v>
      </c>
      <c r="K6" s="579">
        <v>2011</v>
      </c>
      <c r="L6" s="579">
        <v>2012</v>
      </c>
      <c r="M6" s="579">
        <v>2013</v>
      </c>
      <c r="N6" s="579">
        <v>2014</v>
      </c>
      <c r="O6" s="579">
        <v>2015</v>
      </c>
      <c r="P6" s="579">
        <v>2016</v>
      </c>
      <c r="Q6" s="1290">
        <v>2017</v>
      </c>
      <c r="R6" s="579">
        <v>2018</v>
      </c>
      <c r="S6" s="579">
        <v>2019</v>
      </c>
      <c r="T6" s="514">
        <v>2020</v>
      </c>
      <c r="U6" s="1106">
        <v>2021</v>
      </c>
    </row>
    <row r="7" spans="1:21">
      <c r="A7" s="497" t="s">
        <v>127</v>
      </c>
      <c r="B7" s="579" t="s">
        <v>296</v>
      </c>
      <c r="C7" s="579" t="s">
        <v>127</v>
      </c>
      <c r="D7" s="583">
        <v>124556</v>
      </c>
      <c r="E7" s="583">
        <v>121435</v>
      </c>
      <c r="F7" s="583">
        <v>122736</v>
      </c>
      <c r="G7" s="583">
        <v>123780</v>
      </c>
      <c r="H7" s="583">
        <v>122431</v>
      </c>
      <c r="I7" s="583">
        <v>121982</v>
      </c>
      <c r="J7" s="583">
        <v>107632</v>
      </c>
      <c r="K7" s="583">
        <v>122642</v>
      </c>
      <c r="L7" s="583">
        <v>123570</v>
      </c>
      <c r="M7" s="583">
        <v>122572</v>
      </c>
      <c r="N7" s="583">
        <v>123283</v>
      </c>
      <c r="O7" s="583">
        <v>114506</v>
      </c>
      <c r="P7" s="583">
        <v>123809</v>
      </c>
      <c r="Q7" s="1291">
        <v>122813</v>
      </c>
      <c r="R7" s="583">
        <v>119044</v>
      </c>
      <c r="S7" s="583">
        <v>117969</v>
      </c>
      <c r="T7" s="584">
        <v>112913</v>
      </c>
      <c r="U7" s="1166">
        <v>109561</v>
      </c>
    </row>
    <row r="8" spans="1:21">
      <c r="A8" s="498"/>
      <c r="B8" s="499"/>
      <c r="C8" s="580" t="s">
        <v>56</v>
      </c>
      <c r="D8" s="585">
        <v>5694</v>
      </c>
      <c r="E8" s="585">
        <v>5903</v>
      </c>
      <c r="F8" s="585">
        <v>5623</v>
      </c>
      <c r="G8" s="585">
        <v>5912</v>
      </c>
      <c r="H8" s="585">
        <v>5464</v>
      </c>
      <c r="I8" s="585">
        <v>5033</v>
      </c>
      <c r="J8" s="585">
        <v>5224</v>
      </c>
      <c r="K8" s="585">
        <v>5083</v>
      </c>
      <c r="L8" s="585">
        <v>5477</v>
      </c>
      <c r="M8" s="585">
        <v>5528</v>
      </c>
      <c r="N8" s="585">
        <v>5557</v>
      </c>
      <c r="O8" s="585">
        <v>5574</v>
      </c>
      <c r="P8" s="585">
        <v>5364</v>
      </c>
      <c r="Q8" s="1292">
        <v>5380</v>
      </c>
      <c r="R8" s="585">
        <v>5224</v>
      </c>
      <c r="S8" s="585">
        <v>5179</v>
      </c>
      <c r="T8" s="586">
        <v>4870</v>
      </c>
      <c r="U8" s="1166">
        <v>5334</v>
      </c>
    </row>
    <row r="9" spans="1:21">
      <c r="A9" s="498"/>
      <c r="B9" s="499"/>
      <c r="C9" s="580" t="s">
        <v>121</v>
      </c>
      <c r="D9" s="585">
        <v>1523</v>
      </c>
      <c r="E9" s="585">
        <v>1566</v>
      </c>
      <c r="F9" s="585">
        <v>1654</v>
      </c>
      <c r="G9" s="585">
        <v>1754</v>
      </c>
      <c r="H9" s="585">
        <v>1398</v>
      </c>
      <c r="I9" s="585">
        <v>1274</v>
      </c>
      <c r="J9" s="585">
        <v>1200</v>
      </c>
      <c r="K9" s="585">
        <v>1292</v>
      </c>
      <c r="L9" s="585">
        <v>1380</v>
      </c>
      <c r="M9" s="585">
        <v>1626</v>
      </c>
      <c r="N9" s="585">
        <v>1602</v>
      </c>
      <c r="O9" s="585">
        <v>1773</v>
      </c>
      <c r="P9" s="585">
        <v>1675</v>
      </c>
      <c r="Q9" s="1292">
        <v>1566</v>
      </c>
      <c r="R9" s="585">
        <v>1631</v>
      </c>
      <c r="S9" s="585">
        <v>1627</v>
      </c>
      <c r="T9" s="586">
        <v>1429</v>
      </c>
      <c r="U9" s="1166">
        <v>1544</v>
      </c>
    </row>
    <row r="10" spans="1:21">
      <c r="A10" s="498"/>
      <c r="B10" s="499"/>
      <c r="C10" s="580" t="s">
        <v>58</v>
      </c>
      <c r="D10" s="585">
        <v>4107</v>
      </c>
      <c r="E10" s="585">
        <v>5431</v>
      </c>
      <c r="F10" s="585">
        <v>5421</v>
      </c>
      <c r="G10" s="585">
        <v>6203</v>
      </c>
      <c r="H10" s="585">
        <v>5217</v>
      </c>
      <c r="I10" s="585">
        <v>5205</v>
      </c>
      <c r="J10" s="585">
        <v>6042</v>
      </c>
      <c r="K10" s="585">
        <v>8067</v>
      </c>
      <c r="L10" s="585">
        <v>8683</v>
      </c>
      <c r="M10" s="585">
        <v>9379</v>
      </c>
      <c r="N10" s="585">
        <v>9709</v>
      </c>
      <c r="O10" s="585">
        <v>10915</v>
      </c>
      <c r="P10" s="585">
        <v>11157</v>
      </c>
      <c r="Q10" s="1292">
        <v>10970</v>
      </c>
      <c r="R10" s="585">
        <v>12110</v>
      </c>
      <c r="S10" s="585">
        <v>13181</v>
      </c>
      <c r="T10" s="586">
        <v>13008</v>
      </c>
      <c r="U10" s="1166">
        <v>13234</v>
      </c>
    </row>
    <row r="11" spans="1:21">
      <c r="A11" s="498"/>
      <c r="B11" s="499"/>
      <c r="C11" s="580" t="s">
        <v>59</v>
      </c>
      <c r="D11" s="585">
        <v>34203</v>
      </c>
      <c r="E11" s="585">
        <v>36020</v>
      </c>
      <c r="F11" s="585">
        <v>38352</v>
      </c>
      <c r="G11" s="585">
        <v>41054</v>
      </c>
      <c r="H11" s="585">
        <v>40739</v>
      </c>
      <c r="I11" s="585">
        <v>38176</v>
      </c>
      <c r="J11" s="585">
        <v>40266</v>
      </c>
      <c r="K11" s="585">
        <v>40491</v>
      </c>
      <c r="L11" s="585">
        <v>42727</v>
      </c>
      <c r="M11" s="585">
        <v>43669</v>
      </c>
      <c r="N11" s="585">
        <v>43554</v>
      </c>
      <c r="O11" s="585">
        <v>43899</v>
      </c>
      <c r="P11" s="585">
        <v>45149</v>
      </c>
      <c r="Q11" s="1292">
        <v>44765</v>
      </c>
      <c r="R11" s="585">
        <v>43979</v>
      </c>
      <c r="S11" s="585">
        <v>42558</v>
      </c>
      <c r="T11" s="586">
        <v>39652</v>
      </c>
      <c r="U11" s="1166">
        <v>38111</v>
      </c>
    </row>
    <row r="12" spans="1:21">
      <c r="A12" s="498"/>
      <c r="B12" s="499"/>
      <c r="C12" s="582" t="s">
        <v>51</v>
      </c>
      <c r="D12" s="587">
        <v>8137</v>
      </c>
      <c r="E12" s="587">
        <v>11205</v>
      </c>
      <c r="F12" s="587">
        <v>12813</v>
      </c>
      <c r="G12" s="587">
        <v>10623</v>
      </c>
      <c r="H12" s="587">
        <v>13265</v>
      </c>
      <c r="I12" s="587">
        <v>10691</v>
      </c>
      <c r="J12" s="587">
        <v>10129</v>
      </c>
      <c r="K12" s="587">
        <v>13802</v>
      </c>
      <c r="L12" s="587">
        <v>14999</v>
      </c>
      <c r="M12" s="587">
        <v>14979</v>
      </c>
      <c r="N12" s="587">
        <v>14791</v>
      </c>
      <c r="O12" s="587">
        <v>17032</v>
      </c>
      <c r="P12" s="587">
        <v>17133</v>
      </c>
      <c r="Q12" s="1293">
        <v>14818</v>
      </c>
      <c r="R12" s="587">
        <v>15426</v>
      </c>
      <c r="S12" s="587">
        <v>14731</v>
      </c>
      <c r="T12" s="588">
        <v>13615</v>
      </c>
      <c r="U12" s="1166">
        <v>14075</v>
      </c>
    </row>
    <row r="13" spans="1:21">
      <c r="A13" s="498"/>
      <c r="B13" s="499"/>
      <c r="C13" s="499" t="s">
        <v>52</v>
      </c>
      <c r="D13" s="589">
        <v>178220</v>
      </c>
      <c r="E13" s="589">
        <v>181560</v>
      </c>
      <c r="F13" s="589">
        <v>186599</v>
      </c>
      <c r="G13" s="589">
        <v>189326</v>
      </c>
      <c r="H13" s="589">
        <v>188514</v>
      </c>
      <c r="I13" s="589">
        <v>182361</v>
      </c>
      <c r="J13" s="589">
        <v>170493</v>
      </c>
      <c r="K13" s="589">
        <v>191377</v>
      </c>
      <c r="L13" s="589">
        <v>196836</v>
      </c>
      <c r="M13" s="589">
        <v>197753</v>
      </c>
      <c r="N13" s="589">
        <v>198496</v>
      </c>
      <c r="O13" s="589">
        <v>193699</v>
      </c>
      <c r="P13" s="589">
        <v>204287</v>
      </c>
      <c r="Q13" s="1096">
        <v>200312</v>
      </c>
      <c r="R13" s="589">
        <v>197414</v>
      </c>
      <c r="S13" s="589">
        <v>195245</v>
      </c>
      <c r="T13" s="537">
        <v>185487</v>
      </c>
      <c r="U13" s="1167">
        <f>SUM(U7:U12)</f>
        <v>181859</v>
      </c>
    </row>
    <row r="14" spans="1:21">
      <c r="A14" s="498"/>
      <c r="B14" s="579" t="s">
        <v>297</v>
      </c>
      <c r="C14" s="579" t="s">
        <v>127</v>
      </c>
      <c r="D14" s="583">
        <v>32184</v>
      </c>
      <c r="E14" s="583">
        <v>33485</v>
      </c>
      <c r="F14" s="583">
        <v>34339</v>
      </c>
      <c r="G14" s="583">
        <v>35698</v>
      </c>
      <c r="H14" s="583">
        <v>36535</v>
      </c>
      <c r="I14" s="583">
        <v>33923</v>
      </c>
      <c r="J14" s="583">
        <v>38783</v>
      </c>
      <c r="K14" s="583">
        <v>36255</v>
      </c>
      <c r="L14" s="583">
        <v>36464</v>
      </c>
      <c r="M14" s="583">
        <v>36468</v>
      </c>
      <c r="N14" s="583">
        <v>37484</v>
      </c>
      <c r="O14" s="583">
        <v>38103</v>
      </c>
      <c r="P14" s="583">
        <v>38120</v>
      </c>
      <c r="Q14" s="1291">
        <v>40063</v>
      </c>
      <c r="R14" s="583">
        <v>41453</v>
      </c>
      <c r="S14" s="583">
        <v>42847</v>
      </c>
      <c r="T14" s="584">
        <v>42404</v>
      </c>
      <c r="U14" s="1108">
        <v>42559</v>
      </c>
    </row>
    <row r="15" spans="1:21">
      <c r="A15" s="498"/>
      <c r="B15" s="499"/>
      <c r="C15" s="582" t="s">
        <v>51</v>
      </c>
      <c r="D15" s="587">
        <v>54</v>
      </c>
      <c r="E15" s="587">
        <v>72</v>
      </c>
      <c r="F15" s="587">
        <v>99</v>
      </c>
      <c r="G15" s="587">
        <v>91</v>
      </c>
      <c r="H15" s="587">
        <v>117</v>
      </c>
      <c r="I15" s="587">
        <v>109</v>
      </c>
      <c r="J15" s="587">
        <v>130</v>
      </c>
      <c r="K15" s="587">
        <v>123</v>
      </c>
      <c r="L15" s="587">
        <v>1265</v>
      </c>
      <c r="M15" s="587">
        <v>1362</v>
      </c>
      <c r="N15" s="587">
        <v>1195</v>
      </c>
      <c r="O15" s="587">
        <v>1034</v>
      </c>
      <c r="P15" s="587">
        <v>1016</v>
      </c>
      <c r="Q15" s="1293">
        <v>858</v>
      </c>
      <c r="R15" s="587">
        <v>723</v>
      </c>
      <c r="S15" s="587">
        <v>649</v>
      </c>
      <c r="T15" s="588">
        <v>809</v>
      </c>
      <c r="U15" s="1166">
        <v>203</v>
      </c>
    </row>
    <row r="16" spans="1:21">
      <c r="A16" s="498"/>
      <c r="B16" s="502"/>
      <c r="C16" s="502" t="s">
        <v>52</v>
      </c>
      <c r="D16" s="590">
        <v>32238</v>
      </c>
      <c r="E16" s="590">
        <v>33557</v>
      </c>
      <c r="F16" s="590">
        <v>34438</v>
      </c>
      <c r="G16" s="590">
        <v>35789</v>
      </c>
      <c r="H16" s="590">
        <v>36652</v>
      </c>
      <c r="I16" s="590">
        <v>34032</v>
      </c>
      <c r="J16" s="590">
        <v>38913</v>
      </c>
      <c r="K16" s="590">
        <v>36378</v>
      </c>
      <c r="L16" s="590">
        <v>36583</v>
      </c>
      <c r="M16" s="590">
        <v>37830</v>
      </c>
      <c r="N16" s="590">
        <v>38679</v>
      </c>
      <c r="O16" s="590">
        <v>39137</v>
      </c>
      <c r="P16" s="590">
        <v>39136</v>
      </c>
      <c r="Q16" s="1294">
        <v>40921</v>
      </c>
      <c r="R16" s="590">
        <v>42176</v>
      </c>
      <c r="S16" s="590">
        <v>43496</v>
      </c>
      <c r="T16" s="539">
        <v>43213</v>
      </c>
      <c r="U16" s="1167">
        <f>SUM(U14:U15)</f>
        <v>42762</v>
      </c>
    </row>
    <row r="17" spans="1:22">
      <c r="A17" s="498"/>
      <c r="B17" s="499" t="s">
        <v>314</v>
      </c>
      <c r="C17" s="499" t="s">
        <v>127</v>
      </c>
      <c r="D17" s="589">
        <v>37701</v>
      </c>
      <c r="E17" s="589">
        <v>37467</v>
      </c>
      <c r="F17" s="589">
        <v>35767</v>
      </c>
      <c r="G17" s="589">
        <v>41799</v>
      </c>
      <c r="H17" s="589">
        <v>39307</v>
      </c>
      <c r="I17" s="589">
        <v>39699</v>
      </c>
      <c r="J17" s="589">
        <v>38429</v>
      </c>
      <c r="K17" s="589">
        <v>37790</v>
      </c>
      <c r="L17" s="589">
        <v>39377</v>
      </c>
      <c r="M17" s="589">
        <v>40126</v>
      </c>
      <c r="N17" s="589">
        <v>40894</v>
      </c>
      <c r="O17" s="589">
        <v>40997</v>
      </c>
      <c r="P17" s="589">
        <v>41226</v>
      </c>
      <c r="Q17" s="1096">
        <v>41669</v>
      </c>
      <c r="R17" s="589">
        <v>43033</v>
      </c>
      <c r="S17" s="589">
        <v>42666</v>
      </c>
      <c r="T17" s="537">
        <v>42169</v>
      </c>
      <c r="U17" s="1172">
        <v>44132</v>
      </c>
    </row>
    <row r="18" spans="1:22">
      <c r="A18" s="498"/>
      <c r="B18" s="499" t="s">
        <v>315</v>
      </c>
      <c r="C18" s="580" t="s">
        <v>56</v>
      </c>
      <c r="D18" s="585">
        <v>15944</v>
      </c>
      <c r="E18" s="585">
        <v>17798</v>
      </c>
      <c r="F18" s="585">
        <v>18332</v>
      </c>
      <c r="G18" s="585">
        <v>18903</v>
      </c>
      <c r="H18" s="585">
        <v>19323</v>
      </c>
      <c r="I18" s="585">
        <v>16218</v>
      </c>
      <c r="J18" s="585">
        <v>15898</v>
      </c>
      <c r="K18" s="585">
        <v>15940</v>
      </c>
      <c r="L18" s="585">
        <v>15422</v>
      </c>
      <c r="M18" s="585">
        <v>15076</v>
      </c>
      <c r="N18" s="585">
        <v>15593</v>
      </c>
      <c r="O18" s="585">
        <v>15210</v>
      </c>
      <c r="P18" s="585">
        <v>15204</v>
      </c>
      <c r="Q18" s="1292">
        <v>15179</v>
      </c>
      <c r="R18" s="585">
        <v>15660</v>
      </c>
      <c r="S18" s="585">
        <v>15215</v>
      </c>
      <c r="T18" s="586">
        <v>14402</v>
      </c>
      <c r="U18" s="1173">
        <v>15590</v>
      </c>
      <c r="V18" s="960"/>
    </row>
    <row r="19" spans="1:22">
      <c r="A19" s="498"/>
      <c r="B19" s="499"/>
      <c r="C19" s="580" t="s">
        <v>121</v>
      </c>
      <c r="D19" s="585">
        <v>7580</v>
      </c>
      <c r="E19" s="585">
        <v>8511</v>
      </c>
      <c r="F19" s="585">
        <v>9030</v>
      </c>
      <c r="G19" s="585">
        <v>9412</v>
      </c>
      <c r="H19" s="585">
        <v>9634</v>
      </c>
      <c r="I19" s="585">
        <v>7998</v>
      </c>
      <c r="J19" s="585">
        <v>8651</v>
      </c>
      <c r="K19" s="585">
        <v>9277</v>
      </c>
      <c r="L19" s="585">
        <v>8814</v>
      </c>
      <c r="M19" s="585">
        <v>10112</v>
      </c>
      <c r="N19" s="585">
        <v>10697</v>
      </c>
      <c r="O19" s="585">
        <v>10254</v>
      </c>
      <c r="P19" s="585">
        <v>10176</v>
      </c>
      <c r="Q19" s="1292">
        <v>10133</v>
      </c>
      <c r="R19" s="585">
        <v>11071</v>
      </c>
      <c r="S19" s="585">
        <v>10615</v>
      </c>
      <c r="T19" s="586">
        <v>10021</v>
      </c>
      <c r="U19" s="1173">
        <v>10909</v>
      </c>
      <c r="V19" s="960"/>
    </row>
    <row r="20" spans="1:22">
      <c r="A20" s="498"/>
      <c r="B20" s="499"/>
      <c r="C20" s="580" t="s">
        <v>58</v>
      </c>
      <c r="D20" s="585">
        <v>12222</v>
      </c>
      <c r="E20" s="585">
        <v>14847</v>
      </c>
      <c r="F20" s="585">
        <v>17200</v>
      </c>
      <c r="G20" s="585">
        <v>18452</v>
      </c>
      <c r="H20" s="585">
        <v>20634</v>
      </c>
      <c r="I20" s="585">
        <v>19042</v>
      </c>
      <c r="J20" s="585">
        <v>21697</v>
      </c>
      <c r="K20" s="585">
        <v>22132</v>
      </c>
      <c r="L20" s="585">
        <v>23137</v>
      </c>
      <c r="M20" s="585">
        <v>23908</v>
      </c>
      <c r="N20" s="585">
        <v>25285</v>
      </c>
      <c r="O20" s="585">
        <v>24738</v>
      </c>
      <c r="P20" s="585">
        <v>25310</v>
      </c>
      <c r="Q20" s="1292">
        <v>25848</v>
      </c>
      <c r="R20" s="585">
        <v>27700</v>
      </c>
      <c r="S20" s="585">
        <v>28575</v>
      </c>
      <c r="T20" s="586">
        <v>27513</v>
      </c>
      <c r="U20" s="1173">
        <v>29314</v>
      </c>
      <c r="V20" s="960"/>
    </row>
    <row r="21" spans="1:22">
      <c r="A21" s="498"/>
      <c r="B21" s="499"/>
      <c r="C21" s="580" t="s">
        <v>59</v>
      </c>
      <c r="D21" s="585">
        <v>18721</v>
      </c>
      <c r="E21" s="585">
        <v>18554</v>
      </c>
      <c r="F21" s="585">
        <v>21211</v>
      </c>
      <c r="G21" s="585">
        <v>23679</v>
      </c>
      <c r="H21" s="585">
        <v>28255</v>
      </c>
      <c r="I21" s="585">
        <v>34041</v>
      </c>
      <c r="J21" s="585">
        <v>38558</v>
      </c>
      <c r="K21" s="585">
        <v>39823</v>
      </c>
      <c r="L21" s="585">
        <v>42468</v>
      </c>
      <c r="M21" s="585">
        <v>45235</v>
      </c>
      <c r="N21" s="585">
        <v>48125</v>
      </c>
      <c r="O21" s="585">
        <v>49304</v>
      </c>
      <c r="P21" s="585">
        <v>52120</v>
      </c>
      <c r="Q21" s="1292">
        <v>52230</v>
      </c>
      <c r="R21" s="585">
        <v>51720</v>
      </c>
      <c r="S21" s="585">
        <v>52134</v>
      </c>
      <c r="T21" s="586">
        <v>51247</v>
      </c>
      <c r="U21" s="1173">
        <v>52002</v>
      </c>
      <c r="V21" s="960"/>
    </row>
    <row r="22" spans="1:22">
      <c r="A22" s="498"/>
      <c r="B22" s="499"/>
      <c r="C22" s="582" t="s">
        <v>51</v>
      </c>
      <c r="D22" s="587">
        <v>23407</v>
      </c>
      <c r="E22" s="587">
        <v>29995</v>
      </c>
      <c r="F22" s="587">
        <v>39646</v>
      </c>
      <c r="G22" s="587">
        <v>33210</v>
      </c>
      <c r="H22" s="587">
        <v>38054</v>
      </c>
      <c r="I22" s="587">
        <v>26814</v>
      </c>
      <c r="J22" s="587">
        <v>49916</v>
      </c>
      <c r="K22" s="587">
        <v>66301</v>
      </c>
      <c r="L22" s="587">
        <v>68609</v>
      </c>
      <c r="M22" s="587">
        <v>70320</v>
      </c>
      <c r="N22" s="587">
        <v>69354</v>
      </c>
      <c r="O22" s="587">
        <v>65658</v>
      </c>
      <c r="P22" s="587">
        <v>64900</v>
      </c>
      <c r="Q22" s="1293">
        <v>65638</v>
      </c>
      <c r="R22" s="587">
        <v>68570</v>
      </c>
      <c r="S22" s="587">
        <v>63944</v>
      </c>
      <c r="T22" s="961">
        <v>60353</v>
      </c>
      <c r="U22" s="1263">
        <v>66507</v>
      </c>
      <c r="V22" s="959"/>
    </row>
    <row r="23" spans="1:22">
      <c r="A23" s="498"/>
      <c r="B23" s="499"/>
      <c r="C23" s="499" t="s">
        <v>52</v>
      </c>
      <c r="D23" s="589">
        <v>115575</v>
      </c>
      <c r="E23" s="589">
        <v>127172</v>
      </c>
      <c r="F23" s="589">
        <v>141186</v>
      </c>
      <c r="G23" s="589">
        <v>145455</v>
      </c>
      <c r="H23" s="589">
        <v>155207</v>
      </c>
      <c r="I23" s="589">
        <v>143812</v>
      </c>
      <c r="J23" s="589">
        <v>173149</v>
      </c>
      <c r="K23" s="589">
        <v>191263</v>
      </c>
      <c r="L23" s="589">
        <v>197827</v>
      </c>
      <c r="M23" s="589">
        <v>204777</v>
      </c>
      <c r="N23" s="589">
        <v>209948</v>
      </c>
      <c r="O23" s="589">
        <v>206161</v>
      </c>
      <c r="P23" s="589">
        <v>208936</v>
      </c>
      <c r="Q23" s="1096">
        <v>210697</v>
      </c>
      <c r="R23" s="589">
        <v>217754</v>
      </c>
      <c r="S23" s="589">
        <v>213149</v>
      </c>
      <c r="T23" s="1229">
        <v>205705</v>
      </c>
      <c r="U23" s="1184">
        <v>218454</v>
      </c>
      <c r="V23" s="605"/>
    </row>
    <row r="24" spans="1:22">
      <c r="A24" s="501"/>
      <c r="B24" s="516" t="s">
        <v>52</v>
      </c>
      <c r="C24" s="516"/>
      <c r="D24" s="591">
        <v>326033</v>
      </c>
      <c r="E24" s="591">
        <v>342289</v>
      </c>
      <c r="F24" s="591">
        <v>362223</v>
      </c>
      <c r="G24" s="591">
        <v>370570</v>
      </c>
      <c r="H24" s="591">
        <v>380373</v>
      </c>
      <c r="I24" s="591">
        <v>360205</v>
      </c>
      <c r="J24" s="591">
        <v>382555</v>
      </c>
      <c r="K24" s="591">
        <v>419018</v>
      </c>
      <c r="L24" s="591">
        <v>431246</v>
      </c>
      <c r="M24" s="591">
        <v>440360</v>
      </c>
      <c r="N24" s="591">
        <v>447123</v>
      </c>
      <c r="O24" s="591">
        <v>438997</v>
      </c>
      <c r="P24" s="591">
        <v>452359</v>
      </c>
      <c r="Q24" s="1195">
        <v>451930</v>
      </c>
      <c r="R24" s="591">
        <v>457344</v>
      </c>
      <c r="S24" s="591">
        <v>451890</v>
      </c>
      <c r="T24" s="592">
        <v>434405</v>
      </c>
      <c r="U24" s="1185">
        <v>443075</v>
      </c>
      <c r="V24" s="605"/>
    </row>
    <row r="25" spans="1:22">
      <c r="A25" s="497" t="s">
        <v>56</v>
      </c>
      <c r="B25" s="579" t="s">
        <v>296</v>
      </c>
      <c r="C25" s="579" t="s">
        <v>127</v>
      </c>
      <c r="D25" s="583">
        <v>4757</v>
      </c>
      <c r="E25" s="583">
        <v>4612</v>
      </c>
      <c r="F25" s="583">
        <v>4141</v>
      </c>
      <c r="G25" s="583">
        <v>4021</v>
      </c>
      <c r="H25" s="583">
        <v>3438</v>
      </c>
      <c r="I25" s="583">
        <v>2661</v>
      </c>
      <c r="J25" s="583">
        <v>2282</v>
      </c>
      <c r="K25" s="583">
        <v>2811</v>
      </c>
      <c r="L25" s="583">
        <v>3057</v>
      </c>
      <c r="M25" s="583">
        <v>3288</v>
      </c>
      <c r="N25" s="583">
        <v>3542</v>
      </c>
      <c r="O25" s="583">
        <v>4190</v>
      </c>
      <c r="P25" s="583">
        <v>4583</v>
      </c>
      <c r="Q25" s="1291">
        <v>4992</v>
      </c>
      <c r="R25" s="583">
        <v>5122</v>
      </c>
      <c r="S25" s="583">
        <v>4828</v>
      </c>
      <c r="T25" s="584">
        <v>4296</v>
      </c>
      <c r="U25" s="1108">
        <v>3159</v>
      </c>
    </row>
    <row r="26" spans="1:22">
      <c r="A26" s="498"/>
      <c r="B26" s="499"/>
      <c r="C26" s="580" t="s">
        <v>56</v>
      </c>
      <c r="D26" s="585">
        <v>362342</v>
      </c>
      <c r="E26" s="585">
        <v>359382</v>
      </c>
      <c r="F26" s="585">
        <v>336013</v>
      </c>
      <c r="G26" s="585">
        <v>321375</v>
      </c>
      <c r="H26" s="585">
        <v>317528</v>
      </c>
      <c r="I26" s="585">
        <v>282359</v>
      </c>
      <c r="J26" s="585">
        <v>276156</v>
      </c>
      <c r="K26" s="585">
        <v>271683</v>
      </c>
      <c r="L26" s="585">
        <v>269132</v>
      </c>
      <c r="M26" s="585">
        <v>252391</v>
      </c>
      <c r="N26" s="585">
        <v>245343</v>
      </c>
      <c r="O26" s="585">
        <v>237574</v>
      </c>
      <c r="P26" s="585">
        <v>238167</v>
      </c>
      <c r="Q26" s="1292">
        <v>236216</v>
      </c>
      <c r="R26" s="585">
        <v>228705</v>
      </c>
      <c r="S26" s="585">
        <v>219138</v>
      </c>
      <c r="T26" s="586">
        <v>200385</v>
      </c>
      <c r="U26" s="1166">
        <v>194630</v>
      </c>
    </row>
    <row r="27" spans="1:22">
      <c r="A27" s="498"/>
      <c r="B27" s="499"/>
      <c r="C27" s="580" t="s">
        <v>121</v>
      </c>
      <c r="D27" s="585">
        <v>9017</v>
      </c>
      <c r="E27" s="585">
        <v>9201</v>
      </c>
      <c r="F27" s="585">
        <v>9222</v>
      </c>
      <c r="G27" s="585">
        <v>8853</v>
      </c>
      <c r="H27" s="585">
        <v>8039</v>
      </c>
      <c r="I27" s="585">
        <v>5857</v>
      </c>
      <c r="J27" s="585">
        <v>5471</v>
      </c>
      <c r="K27" s="585">
        <v>6242</v>
      </c>
      <c r="L27" s="585">
        <v>6203</v>
      </c>
      <c r="M27" s="585">
        <v>5502</v>
      </c>
      <c r="N27" s="585">
        <v>5101</v>
      </c>
      <c r="O27" s="585">
        <v>5117</v>
      </c>
      <c r="P27" s="585">
        <v>4654</v>
      </c>
      <c r="Q27" s="1292">
        <v>4699</v>
      </c>
      <c r="R27" s="585">
        <v>5036</v>
      </c>
      <c r="S27" s="585">
        <v>4399</v>
      </c>
      <c r="T27" s="586">
        <v>4055</v>
      </c>
      <c r="U27" s="1166">
        <v>3981</v>
      </c>
    </row>
    <row r="28" spans="1:22">
      <c r="A28" s="498"/>
      <c r="B28" s="499"/>
      <c r="C28" s="580" t="s">
        <v>58</v>
      </c>
      <c r="D28" s="585">
        <v>18026</v>
      </c>
      <c r="E28" s="585">
        <v>20663</v>
      </c>
      <c r="F28" s="585">
        <v>20471</v>
      </c>
      <c r="G28" s="585">
        <v>20183</v>
      </c>
      <c r="H28" s="585">
        <v>19498</v>
      </c>
      <c r="I28" s="585">
        <v>16783</v>
      </c>
      <c r="J28" s="585">
        <v>17691</v>
      </c>
      <c r="K28" s="585">
        <v>22640</v>
      </c>
      <c r="L28" s="585">
        <v>21792</v>
      </c>
      <c r="M28" s="585">
        <v>19734</v>
      </c>
      <c r="N28" s="585">
        <v>18161</v>
      </c>
      <c r="O28" s="585">
        <v>18466</v>
      </c>
      <c r="P28" s="585">
        <v>17892</v>
      </c>
      <c r="Q28" s="1292">
        <v>18438</v>
      </c>
      <c r="R28" s="585">
        <v>21594</v>
      </c>
      <c r="S28" s="585">
        <v>22864</v>
      </c>
      <c r="T28" s="586">
        <v>21706</v>
      </c>
      <c r="U28" s="1166">
        <v>20091</v>
      </c>
    </row>
    <row r="29" spans="1:22">
      <c r="A29" s="498"/>
      <c r="B29" s="499"/>
      <c r="C29" s="580" t="s">
        <v>59</v>
      </c>
      <c r="D29" s="585">
        <v>55281</v>
      </c>
      <c r="E29" s="585">
        <v>61587</v>
      </c>
      <c r="F29" s="585">
        <v>64140</v>
      </c>
      <c r="G29" s="585">
        <v>65057</v>
      </c>
      <c r="H29" s="585">
        <v>66408</v>
      </c>
      <c r="I29" s="585">
        <v>60409</v>
      </c>
      <c r="J29" s="585">
        <v>58948</v>
      </c>
      <c r="K29" s="585">
        <v>59246</v>
      </c>
      <c r="L29" s="585">
        <v>58833</v>
      </c>
      <c r="M29" s="585">
        <v>54996</v>
      </c>
      <c r="N29" s="585">
        <v>55350</v>
      </c>
      <c r="O29" s="585">
        <v>55271</v>
      </c>
      <c r="P29" s="585">
        <v>54087</v>
      </c>
      <c r="Q29" s="1292">
        <v>52843</v>
      </c>
      <c r="R29" s="585">
        <v>52131</v>
      </c>
      <c r="S29" s="585">
        <v>50203</v>
      </c>
      <c r="T29" s="586">
        <v>45786</v>
      </c>
      <c r="U29" s="1166">
        <v>42603</v>
      </c>
    </row>
    <row r="30" spans="1:22">
      <c r="A30" s="498"/>
      <c r="B30" s="499"/>
      <c r="C30" s="582" t="s">
        <v>51</v>
      </c>
      <c r="D30" s="587">
        <v>3481</v>
      </c>
      <c r="E30" s="587">
        <v>4088</v>
      </c>
      <c r="F30" s="587">
        <v>4323</v>
      </c>
      <c r="G30" s="587">
        <v>3779</v>
      </c>
      <c r="H30" s="587">
        <v>4132</v>
      </c>
      <c r="I30" s="587">
        <v>6147</v>
      </c>
      <c r="J30" s="587">
        <v>3983</v>
      </c>
      <c r="K30" s="587">
        <v>6433</v>
      </c>
      <c r="L30" s="587">
        <v>6950</v>
      </c>
      <c r="M30" s="587">
        <v>6420</v>
      </c>
      <c r="N30" s="587">
        <v>6212</v>
      </c>
      <c r="O30" s="587">
        <v>7733</v>
      </c>
      <c r="P30" s="587">
        <v>7950</v>
      </c>
      <c r="Q30" s="1293">
        <v>6253</v>
      </c>
      <c r="R30" s="587">
        <v>6807</v>
      </c>
      <c r="S30" s="587">
        <v>6399</v>
      </c>
      <c r="T30" s="588">
        <v>5403</v>
      </c>
      <c r="U30" s="1166">
        <v>5112</v>
      </c>
    </row>
    <row r="31" spans="1:22">
      <c r="A31" s="498"/>
      <c r="B31" s="499"/>
      <c r="C31" s="499" t="s">
        <v>52</v>
      </c>
      <c r="D31" s="589">
        <v>452904</v>
      </c>
      <c r="E31" s="589">
        <v>459533</v>
      </c>
      <c r="F31" s="589">
        <v>438310</v>
      </c>
      <c r="G31" s="589">
        <v>423268</v>
      </c>
      <c r="H31" s="589">
        <v>419043</v>
      </c>
      <c r="I31" s="589">
        <v>374216</v>
      </c>
      <c r="J31" s="589">
        <v>364531</v>
      </c>
      <c r="K31" s="589">
        <v>369055</v>
      </c>
      <c r="L31" s="589">
        <v>365967</v>
      </c>
      <c r="M31" s="589">
        <v>342331</v>
      </c>
      <c r="N31" s="589">
        <v>333709</v>
      </c>
      <c r="O31" s="589">
        <v>328351</v>
      </c>
      <c r="P31" s="589">
        <v>327333</v>
      </c>
      <c r="Q31" s="1096">
        <v>323441</v>
      </c>
      <c r="R31" s="589">
        <v>319395</v>
      </c>
      <c r="S31" s="589">
        <v>307831</v>
      </c>
      <c r="T31" s="537">
        <v>281631</v>
      </c>
      <c r="U31" s="1167">
        <f>SUM(U25:U30)</f>
        <v>269576</v>
      </c>
    </row>
    <row r="32" spans="1:22">
      <c r="A32" s="498"/>
      <c r="B32" s="579" t="s">
        <v>297</v>
      </c>
      <c r="C32" s="579" t="s">
        <v>127</v>
      </c>
      <c r="D32" s="583">
        <v>11992</v>
      </c>
      <c r="E32" s="583">
        <v>11597</v>
      </c>
      <c r="F32" s="583">
        <v>10903</v>
      </c>
      <c r="G32" s="583">
        <v>10888</v>
      </c>
      <c r="H32" s="583">
        <v>11001</v>
      </c>
      <c r="I32" s="583">
        <v>8483</v>
      </c>
      <c r="J32" s="583">
        <v>9737</v>
      </c>
      <c r="K32" s="583">
        <v>8516</v>
      </c>
      <c r="L32" s="583">
        <v>8171</v>
      </c>
      <c r="M32" s="583">
        <v>7144</v>
      </c>
      <c r="N32" s="583">
        <v>6611</v>
      </c>
      <c r="O32" s="583">
        <v>6390</v>
      </c>
      <c r="P32" s="583">
        <v>6440</v>
      </c>
      <c r="Q32" s="1291">
        <v>6686</v>
      </c>
      <c r="R32" s="583">
        <v>6906</v>
      </c>
      <c r="S32" s="583">
        <v>6612</v>
      </c>
      <c r="T32" s="584">
        <v>6032</v>
      </c>
      <c r="U32" s="1108">
        <v>5702</v>
      </c>
    </row>
    <row r="33" spans="1:22">
      <c r="A33" s="498"/>
      <c r="B33" s="499"/>
      <c r="C33" s="582" t="s">
        <v>51</v>
      </c>
      <c r="D33" s="587">
        <v>10</v>
      </c>
      <c r="E33" s="587">
        <v>81</v>
      </c>
      <c r="F33" s="587">
        <v>48</v>
      </c>
      <c r="G33" s="587">
        <v>17</v>
      </c>
      <c r="H33" s="587">
        <v>16</v>
      </c>
      <c r="I33" s="587">
        <v>19</v>
      </c>
      <c r="J33" s="587">
        <v>6</v>
      </c>
      <c r="K33" s="587">
        <v>8</v>
      </c>
      <c r="L33" s="587">
        <v>360</v>
      </c>
      <c r="M33" s="587">
        <v>301</v>
      </c>
      <c r="N33" s="587">
        <v>167</v>
      </c>
      <c r="O33" s="587">
        <v>128</v>
      </c>
      <c r="P33" s="587">
        <v>111</v>
      </c>
      <c r="Q33" s="1293">
        <v>85</v>
      </c>
      <c r="R33" s="587">
        <v>106</v>
      </c>
      <c r="S33" s="587">
        <v>95</v>
      </c>
      <c r="T33" s="588">
        <v>65</v>
      </c>
      <c r="U33" s="1166">
        <v>41</v>
      </c>
    </row>
    <row r="34" spans="1:22">
      <c r="A34" s="498"/>
      <c r="B34" s="502"/>
      <c r="C34" s="502" t="s">
        <v>52</v>
      </c>
      <c r="D34" s="590">
        <v>12002</v>
      </c>
      <c r="E34" s="590">
        <v>11678</v>
      </c>
      <c r="F34" s="590">
        <v>10951</v>
      </c>
      <c r="G34" s="590">
        <v>10905</v>
      </c>
      <c r="H34" s="590">
        <v>11017</v>
      </c>
      <c r="I34" s="590">
        <v>8502</v>
      </c>
      <c r="J34" s="590">
        <v>9743</v>
      </c>
      <c r="K34" s="590">
        <v>8524</v>
      </c>
      <c r="L34" s="590">
        <v>8191</v>
      </c>
      <c r="M34" s="590">
        <v>7445</v>
      </c>
      <c r="N34" s="590">
        <v>6778</v>
      </c>
      <c r="O34" s="590">
        <v>6518</v>
      </c>
      <c r="P34" s="590">
        <v>6551</v>
      </c>
      <c r="Q34" s="1294">
        <v>6771</v>
      </c>
      <c r="R34" s="590">
        <v>7012</v>
      </c>
      <c r="S34" s="590">
        <v>6707</v>
      </c>
      <c r="T34" s="539">
        <v>6097</v>
      </c>
      <c r="U34" s="1167">
        <f>SUM(U32:U33)</f>
        <v>5743</v>
      </c>
    </row>
    <row r="35" spans="1:22">
      <c r="A35" s="498"/>
      <c r="B35" s="499" t="s">
        <v>314</v>
      </c>
      <c r="C35" s="499" t="s">
        <v>127</v>
      </c>
      <c r="D35" s="589">
        <v>9462</v>
      </c>
      <c r="E35" s="589">
        <v>10832</v>
      </c>
      <c r="F35" s="589">
        <v>12348</v>
      </c>
      <c r="G35" s="589">
        <v>13706</v>
      </c>
      <c r="H35" s="589">
        <v>13472</v>
      </c>
      <c r="I35" s="589">
        <v>13004</v>
      </c>
      <c r="J35" s="589">
        <v>13487</v>
      </c>
      <c r="K35" s="589">
        <v>13250</v>
      </c>
      <c r="L35" s="589">
        <v>16294</v>
      </c>
      <c r="M35" s="589">
        <v>17673</v>
      </c>
      <c r="N35" s="589">
        <v>18302</v>
      </c>
      <c r="O35" s="589">
        <v>18243</v>
      </c>
      <c r="P35" s="589">
        <v>17814</v>
      </c>
      <c r="Q35" s="1096">
        <v>18503</v>
      </c>
      <c r="R35" s="589">
        <v>19577</v>
      </c>
      <c r="S35" s="589">
        <v>19731</v>
      </c>
      <c r="T35" s="537">
        <v>19902</v>
      </c>
      <c r="U35" s="1264">
        <v>19708</v>
      </c>
    </row>
    <row r="36" spans="1:22">
      <c r="A36" s="498"/>
      <c r="B36" s="499" t="s">
        <v>315</v>
      </c>
      <c r="C36" s="580" t="s">
        <v>56</v>
      </c>
      <c r="D36" s="585">
        <v>6074</v>
      </c>
      <c r="E36" s="585">
        <v>8578</v>
      </c>
      <c r="F36" s="585">
        <v>11047</v>
      </c>
      <c r="G36" s="585">
        <v>12123</v>
      </c>
      <c r="H36" s="585">
        <v>12582</v>
      </c>
      <c r="I36" s="585">
        <v>12956</v>
      </c>
      <c r="J36" s="585">
        <v>13925</v>
      </c>
      <c r="K36" s="585">
        <v>15897</v>
      </c>
      <c r="L36" s="585">
        <v>17881</v>
      </c>
      <c r="M36" s="585">
        <v>19340</v>
      </c>
      <c r="N36" s="585">
        <v>20616</v>
      </c>
      <c r="O36" s="585">
        <v>21265</v>
      </c>
      <c r="P36" s="585">
        <v>22077</v>
      </c>
      <c r="Q36" s="1292">
        <v>24074</v>
      </c>
      <c r="R36" s="585">
        <v>24925</v>
      </c>
      <c r="S36" s="585">
        <v>26234</v>
      </c>
      <c r="T36" s="586">
        <v>26963</v>
      </c>
      <c r="U36" s="1166">
        <v>27822</v>
      </c>
      <c r="V36" s="958"/>
    </row>
    <row r="37" spans="1:22">
      <c r="A37" s="498"/>
      <c r="B37" s="499"/>
      <c r="C37" s="580" t="s">
        <v>121</v>
      </c>
      <c r="D37" s="585">
        <v>5777</v>
      </c>
      <c r="E37" s="585">
        <v>7267</v>
      </c>
      <c r="F37" s="585">
        <v>8382</v>
      </c>
      <c r="G37" s="585">
        <v>9247</v>
      </c>
      <c r="H37" s="585">
        <v>9513</v>
      </c>
      <c r="I37" s="585">
        <v>8311</v>
      </c>
      <c r="J37" s="585">
        <v>8875</v>
      </c>
      <c r="K37" s="585">
        <v>8992</v>
      </c>
      <c r="L37" s="585">
        <v>9801</v>
      </c>
      <c r="M37" s="585">
        <v>10797</v>
      </c>
      <c r="N37" s="585">
        <v>10552</v>
      </c>
      <c r="O37" s="585">
        <v>10166</v>
      </c>
      <c r="P37" s="585">
        <v>10119</v>
      </c>
      <c r="Q37" s="1292">
        <v>10344</v>
      </c>
      <c r="R37" s="585">
        <v>10559</v>
      </c>
      <c r="S37" s="585">
        <v>10591</v>
      </c>
      <c r="T37" s="586">
        <v>9971</v>
      </c>
      <c r="U37" s="1166">
        <v>10184</v>
      </c>
      <c r="V37" s="958"/>
    </row>
    <row r="38" spans="1:22">
      <c r="A38" s="498"/>
      <c r="B38" s="499"/>
      <c r="C38" s="580" t="s">
        <v>58</v>
      </c>
      <c r="D38" s="585">
        <v>7516</v>
      </c>
      <c r="E38" s="585">
        <v>10313</v>
      </c>
      <c r="F38" s="585">
        <v>12330</v>
      </c>
      <c r="G38" s="585">
        <v>12687</v>
      </c>
      <c r="H38" s="585">
        <v>13766</v>
      </c>
      <c r="I38" s="585">
        <v>13519</v>
      </c>
      <c r="J38" s="585">
        <v>16191</v>
      </c>
      <c r="K38" s="585">
        <v>16591</v>
      </c>
      <c r="L38" s="585">
        <v>20486</v>
      </c>
      <c r="M38" s="585">
        <v>21459</v>
      </c>
      <c r="N38" s="585">
        <v>22299</v>
      </c>
      <c r="O38" s="585">
        <v>21612</v>
      </c>
      <c r="P38" s="585">
        <v>21315</v>
      </c>
      <c r="Q38" s="1292">
        <v>22470</v>
      </c>
      <c r="R38" s="585">
        <v>23690</v>
      </c>
      <c r="S38" s="585">
        <v>26003</v>
      </c>
      <c r="T38" s="586">
        <v>26156</v>
      </c>
      <c r="U38" s="1166">
        <v>26919</v>
      </c>
      <c r="V38" s="958"/>
    </row>
    <row r="39" spans="1:22">
      <c r="A39" s="498"/>
      <c r="B39" s="499"/>
      <c r="C39" s="580" t="s">
        <v>59</v>
      </c>
      <c r="D39" s="585">
        <v>9531</v>
      </c>
      <c r="E39" s="585">
        <v>10407</v>
      </c>
      <c r="F39" s="585">
        <v>12699</v>
      </c>
      <c r="G39" s="585">
        <v>13737</v>
      </c>
      <c r="H39" s="585">
        <v>15988</v>
      </c>
      <c r="I39" s="585">
        <v>21573</v>
      </c>
      <c r="J39" s="585">
        <v>25069</v>
      </c>
      <c r="K39" s="585">
        <v>25938</v>
      </c>
      <c r="L39" s="585">
        <v>29853</v>
      </c>
      <c r="M39" s="585">
        <v>29971</v>
      </c>
      <c r="N39" s="585">
        <v>31341</v>
      </c>
      <c r="O39" s="585">
        <v>31088</v>
      </c>
      <c r="P39" s="585">
        <v>31934</v>
      </c>
      <c r="Q39" s="1292">
        <v>33270</v>
      </c>
      <c r="R39" s="585">
        <v>33191</v>
      </c>
      <c r="S39" s="585">
        <v>34232</v>
      </c>
      <c r="T39" s="586">
        <v>32522</v>
      </c>
      <c r="U39" s="1166">
        <v>32761</v>
      </c>
      <c r="V39" s="958"/>
    </row>
    <row r="40" spans="1:22">
      <c r="A40" s="498"/>
      <c r="B40" s="499"/>
      <c r="C40" s="582" t="s">
        <v>51</v>
      </c>
      <c r="D40" s="587">
        <v>3301</v>
      </c>
      <c r="E40" s="587">
        <v>5263</v>
      </c>
      <c r="F40" s="587">
        <v>6557</v>
      </c>
      <c r="G40" s="587">
        <v>5609</v>
      </c>
      <c r="H40" s="587">
        <v>6700</v>
      </c>
      <c r="I40" s="587">
        <v>4909</v>
      </c>
      <c r="J40" s="587">
        <v>10067</v>
      </c>
      <c r="K40" s="587">
        <v>15401</v>
      </c>
      <c r="L40" s="587">
        <v>18547</v>
      </c>
      <c r="M40" s="587">
        <v>21599</v>
      </c>
      <c r="N40" s="587">
        <v>20677</v>
      </c>
      <c r="O40" s="587">
        <v>16115</v>
      </c>
      <c r="P40" s="587">
        <v>17747</v>
      </c>
      <c r="Q40" s="1293">
        <v>20447</v>
      </c>
      <c r="R40" s="587">
        <v>20578</v>
      </c>
      <c r="S40" s="587">
        <v>21017</v>
      </c>
      <c r="T40" s="961">
        <v>18723</v>
      </c>
      <c r="U40" s="1263">
        <v>19127</v>
      </c>
      <c r="V40" s="959"/>
    </row>
    <row r="41" spans="1:22">
      <c r="A41" s="498"/>
      <c r="B41" s="499"/>
      <c r="C41" s="499" t="s">
        <v>52</v>
      </c>
      <c r="D41" s="589">
        <v>41661</v>
      </c>
      <c r="E41" s="589">
        <v>52660</v>
      </c>
      <c r="F41" s="589">
        <v>63363</v>
      </c>
      <c r="G41" s="589">
        <v>67109</v>
      </c>
      <c r="H41" s="589">
        <v>72021</v>
      </c>
      <c r="I41" s="589">
        <v>74272</v>
      </c>
      <c r="J41" s="589">
        <v>87614</v>
      </c>
      <c r="K41" s="589">
        <v>96069</v>
      </c>
      <c r="L41" s="589">
        <v>112862</v>
      </c>
      <c r="M41" s="589">
        <v>120839</v>
      </c>
      <c r="N41" s="589">
        <v>123787</v>
      </c>
      <c r="O41" s="589">
        <v>118489</v>
      </c>
      <c r="P41" s="589">
        <v>121006</v>
      </c>
      <c r="Q41" s="1096">
        <v>129108</v>
      </c>
      <c r="R41" s="589">
        <v>132520</v>
      </c>
      <c r="S41" s="589">
        <v>137808</v>
      </c>
      <c r="T41" s="537">
        <v>134237</v>
      </c>
      <c r="U41" s="1184">
        <v>136521</v>
      </c>
      <c r="V41" s="605"/>
    </row>
    <row r="42" spans="1:22">
      <c r="A42" s="501"/>
      <c r="B42" s="516" t="s">
        <v>52</v>
      </c>
      <c r="C42" s="516"/>
      <c r="D42" s="591">
        <v>506567</v>
      </c>
      <c r="E42" s="591">
        <v>523871</v>
      </c>
      <c r="F42" s="591">
        <v>512624</v>
      </c>
      <c r="G42" s="591">
        <v>501282</v>
      </c>
      <c r="H42" s="591">
        <v>502081</v>
      </c>
      <c r="I42" s="591">
        <v>456990</v>
      </c>
      <c r="J42" s="591">
        <v>461888</v>
      </c>
      <c r="K42" s="591">
        <v>473648</v>
      </c>
      <c r="L42" s="591">
        <v>487020</v>
      </c>
      <c r="M42" s="591">
        <v>470615</v>
      </c>
      <c r="N42" s="591">
        <v>464274</v>
      </c>
      <c r="O42" s="591">
        <v>453358</v>
      </c>
      <c r="P42" s="591">
        <v>454890</v>
      </c>
      <c r="Q42" s="1195">
        <v>459320</v>
      </c>
      <c r="R42" s="591">
        <v>458927</v>
      </c>
      <c r="S42" s="591">
        <v>452346</v>
      </c>
      <c r="T42" s="592">
        <v>421965</v>
      </c>
      <c r="U42" s="1185">
        <v>411840</v>
      </c>
      <c r="V42" s="605"/>
    </row>
    <row r="43" spans="1:22">
      <c r="A43" s="497" t="s">
        <v>57</v>
      </c>
      <c r="B43" s="579" t="s">
        <v>296</v>
      </c>
      <c r="C43" s="579" t="s">
        <v>127</v>
      </c>
      <c r="D43" s="583">
        <v>1233</v>
      </c>
      <c r="E43" s="583">
        <v>1166</v>
      </c>
      <c r="F43" s="583">
        <v>1291</v>
      </c>
      <c r="G43" s="583">
        <v>916</v>
      </c>
      <c r="H43" s="583">
        <v>1098</v>
      </c>
      <c r="I43" s="583">
        <v>703</v>
      </c>
      <c r="J43" s="583">
        <v>759</v>
      </c>
      <c r="K43" s="583">
        <v>1091</v>
      </c>
      <c r="L43" s="583">
        <v>1556</v>
      </c>
      <c r="M43" s="583">
        <v>1450</v>
      </c>
      <c r="N43" s="583">
        <v>1388</v>
      </c>
      <c r="O43" s="583">
        <v>1379</v>
      </c>
      <c r="P43" s="583">
        <v>1205</v>
      </c>
      <c r="Q43" s="1291">
        <v>1177</v>
      </c>
      <c r="R43" s="583">
        <v>1333</v>
      </c>
      <c r="S43" s="583">
        <v>1337</v>
      </c>
      <c r="T43" s="584">
        <v>1713</v>
      </c>
      <c r="U43" s="1108">
        <v>1517</v>
      </c>
    </row>
    <row r="44" spans="1:22">
      <c r="A44" s="498"/>
      <c r="B44" s="499"/>
      <c r="C44" s="580" t="s">
        <v>56</v>
      </c>
      <c r="D44" s="585">
        <v>4910</v>
      </c>
      <c r="E44" s="585">
        <v>5668</v>
      </c>
      <c r="F44" s="585">
        <v>5706</v>
      </c>
      <c r="G44" s="585">
        <v>4476</v>
      </c>
      <c r="H44" s="585">
        <v>3478</v>
      </c>
      <c r="I44" s="585">
        <v>2747</v>
      </c>
      <c r="J44" s="585">
        <v>2988</v>
      </c>
      <c r="K44" s="585">
        <v>3035</v>
      </c>
      <c r="L44" s="585">
        <v>3422</v>
      </c>
      <c r="M44" s="585">
        <v>3770</v>
      </c>
      <c r="N44" s="585">
        <v>3096</v>
      </c>
      <c r="O44" s="585">
        <v>2658</v>
      </c>
      <c r="P44" s="585">
        <v>2596</v>
      </c>
      <c r="Q44" s="1292">
        <v>2125</v>
      </c>
      <c r="R44" s="585">
        <v>2263</v>
      </c>
      <c r="S44" s="585">
        <v>2179</v>
      </c>
      <c r="T44" s="586">
        <v>2252</v>
      </c>
      <c r="U44" s="1166">
        <v>2406</v>
      </c>
    </row>
    <row r="45" spans="1:22">
      <c r="A45" s="498"/>
      <c r="B45" s="499"/>
      <c r="C45" s="580" t="s">
        <v>121</v>
      </c>
      <c r="D45" s="585">
        <v>105027</v>
      </c>
      <c r="E45" s="585">
        <v>121942</v>
      </c>
      <c r="F45" s="585">
        <v>125249</v>
      </c>
      <c r="G45" s="585">
        <v>128438</v>
      </c>
      <c r="H45" s="585">
        <v>126691</v>
      </c>
      <c r="I45" s="585">
        <v>126988</v>
      </c>
      <c r="J45" s="585">
        <v>131461</v>
      </c>
      <c r="K45" s="585">
        <v>137671</v>
      </c>
      <c r="L45" s="585">
        <v>147694</v>
      </c>
      <c r="M45" s="585">
        <v>159248</v>
      </c>
      <c r="N45" s="585">
        <v>163185</v>
      </c>
      <c r="O45" s="585">
        <v>166376</v>
      </c>
      <c r="P45" s="585">
        <v>162297</v>
      </c>
      <c r="Q45" s="1292">
        <v>158190</v>
      </c>
      <c r="R45" s="585">
        <v>161646</v>
      </c>
      <c r="S45" s="585">
        <v>170377</v>
      </c>
      <c r="T45" s="586">
        <v>179500</v>
      </c>
      <c r="U45" s="1166">
        <v>184746</v>
      </c>
    </row>
    <row r="46" spans="1:22">
      <c r="A46" s="498"/>
      <c r="B46" s="499"/>
      <c r="C46" s="580" t="s">
        <v>58</v>
      </c>
      <c r="D46" s="585">
        <v>4933</v>
      </c>
      <c r="E46" s="585">
        <v>6824</v>
      </c>
      <c r="F46" s="585">
        <v>7538</v>
      </c>
      <c r="G46" s="585">
        <v>6471</v>
      </c>
      <c r="H46" s="585">
        <v>5500</v>
      </c>
      <c r="I46" s="585">
        <v>3478</v>
      </c>
      <c r="J46" s="585">
        <v>4340</v>
      </c>
      <c r="K46" s="585">
        <v>5279</v>
      </c>
      <c r="L46" s="585">
        <v>5813</v>
      </c>
      <c r="M46" s="585">
        <v>7418</v>
      </c>
      <c r="N46" s="585">
        <v>7525</v>
      </c>
      <c r="O46" s="585">
        <v>8414</v>
      </c>
      <c r="P46" s="585">
        <v>8837</v>
      </c>
      <c r="Q46" s="1292">
        <v>8144</v>
      </c>
      <c r="R46" s="585">
        <v>8547</v>
      </c>
      <c r="S46" s="585">
        <v>9971</v>
      </c>
      <c r="T46" s="586">
        <v>10289</v>
      </c>
      <c r="U46" s="1166">
        <v>10909</v>
      </c>
    </row>
    <row r="47" spans="1:22">
      <c r="A47" s="498"/>
      <c r="B47" s="499"/>
      <c r="C47" s="580" t="s">
        <v>59</v>
      </c>
      <c r="D47" s="585">
        <v>12892</v>
      </c>
      <c r="E47" s="585">
        <v>16310</v>
      </c>
      <c r="F47" s="585">
        <v>20627</v>
      </c>
      <c r="G47" s="585">
        <v>21408</v>
      </c>
      <c r="H47" s="585">
        <v>21174</v>
      </c>
      <c r="I47" s="585">
        <v>20602</v>
      </c>
      <c r="J47" s="585">
        <v>22134</v>
      </c>
      <c r="K47" s="585">
        <v>22985</v>
      </c>
      <c r="L47" s="585">
        <v>24189</v>
      </c>
      <c r="M47" s="585">
        <v>27387</v>
      </c>
      <c r="N47" s="585">
        <v>29379</v>
      </c>
      <c r="O47" s="585">
        <v>30426</v>
      </c>
      <c r="P47" s="585">
        <v>28393</v>
      </c>
      <c r="Q47" s="1292">
        <v>26175</v>
      </c>
      <c r="R47" s="585">
        <v>24071</v>
      </c>
      <c r="S47" s="585">
        <v>25328</v>
      </c>
      <c r="T47" s="586">
        <v>26027</v>
      </c>
      <c r="U47" s="1166">
        <v>25061</v>
      </c>
    </row>
    <row r="48" spans="1:22">
      <c r="A48" s="498"/>
      <c r="B48" s="499"/>
      <c r="C48" s="582" t="s">
        <v>51</v>
      </c>
      <c r="D48" s="587">
        <v>564</v>
      </c>
      <c r="E48" s="587">
        <v>921</v>
      </c>
      <c r="F48" s="587">
        <v>991</v>
      </c>
      <c r="G48" s="587">
        <v>720</v>
      </c>
      <c r="H48" s="587">
        <v>836</v>
      </c>
      <c r="I48" s="587">
        <v>725</v>
      </c>
      <c r="J48" s="587">
        <v>471</v>
      </c>
      <c r="K48" s="587">
        <v>573</v>
      </c>
      <c r="L48" s="587">
        <v>777</v>
      </c>
      <c r="M48" s="587">
        <v>1326</v>
      </c>
      <c r="N48" s="587">
        <v>1327</v>
      </c>
      <c r="O48" s="587">
        <v>1988</v>
      </c>
      <c r="P48" s="587">
        <v>1807</v>
      </c>
      <c r="Q48" s="1293">
        <v>1729</v>
      </c>
      <c r="R48" s="587">
        <v>2370</v>
      </c>
      <c r="S48" s="587">
        <v>2439</v>
      </c>
      <c r="T48" s="588">
        <v>2491</v>
      </c>
      <c r="U48" s="1166">
        <v>2410</v>
      </c>
    </row>
    <row r="49" spans="1:22">
      <c r="A49" s="498"/>
      <c r="B49" s="499"/>
      <c r="C49" s="499" t="s">
        <v>52</v>
      </c>
      <c r="D49" s="589">
        <v>129559</v>
      </c>
      <c r="E49" s="589">
        <v>152831</v>
      </c>
      <c r="F49" s="589">
        <v>161402</v>
      </c>
      <c r="G49" s="589">
        <v>162429</v>
      </c>
      <c r="H49" s="589">
        <v>158777</v>
      </c>
      <c r="I49" s="589">
        <v>155243</v>
      </c>
      <c r="J49" s="589">
        <v>162153</v>
      </c>
      <c r="K49" s="589">
        <v>170634</v>
      </c>
      <c r="L49" s="589">
        <v>183451</v>
      </c>
      <c r="M49" s="589">
        <v>200599</v>
      </c>
      <c r="N49" s="589">
        <v>205900</v>
      </c>
      <c r="O49" s="589">
        <v>211241</v>
      </c>
      <c r="P49" s="589">
        <v>205135</v>
      </c>
      <c r="Q49" s="1096">
        <v>197540</v>
      </c>
      <c r="R49" s="589">
        <v>200230</v>
      </c>
      <c r="S49" s="589">
        <v>211631</v>
      </c>
      <c r="T49" s="537">
        <v>222272</v>
      </c>
      <c r="U49" s="1167">
        <f>SUM(U43:U48)</f>
        <v>227049</v>
      </c>
    </row>
    <row r="50" spans="1:22">
      <c r="A50" s="498"/>
      <c r="B50" s="579" t="s">
        <v>297</v>
      </c>
      <c r="C50" s="579" t="s">
        <v>127</v>
      </c>
      <c r="D50" s="583">
        <v>2176</v>
      </c>
      <c r="E50" s="583">
        <v>2984</v>
      </c>
      <c r="F50" s="583">
        <v>3374</v>
      </c>
      <c r="G50" s="583">
        <v>3262</v>
      </c>
      <c r="H50" s="583">
        <v>2368</v>
      </c>
      <c r="I50" s="583">
        <v>2182</v>
      </c>
      <c r="J50" s="583">
        <v>2674</v>
      </c>
      <c r="K50" s="583">
        <v>2807</v>
      </c>
      <c r="L50" s="583">
        <v>2942</v>
      </c>
      <c r="M50" s="583">
        <v>3615</v>
      </c>
      <c r="N50" s="583">
        <v>3405</v>
      </c>
      <c r="O50" s="583">
        <v>3560</v>
      </c>
      <c r="P50" s="583">
        <v>3224</v>
      </c>
      <c r="Q50" s="1291">
        <v>2795</v>
      </c>
      <c r="R50" s="583">
        <v>2738</v>
      </c>
      <c r="S50" s="583">
        <v>3298</v>
      </c>
      <c r="T50" s="584">
        <v>3679</v>
      </c>
      <c r="U50" s="1108">
        <v>3538</v>
      </c>
    </row>
    <row r="51" spans="1:22">
      <c r="A51" s="498"/>
      <c r="B51" s="499"/>
      <c r="C51" s="582" t="s">
        <v>51</v>
      </c>
      <c r="D51" s="587">
        <v>0</v>
      </c>
      <c r="E51" s="587">
        <v>0</v>
      </c>
      <c r="F51" s="587">
        <v>0</v>
      </c>
      <c r="G51" s="587">
        <v>0</v>
      </c>
      <c r="H51" s="587">
        <v>0</v>
      </c>
      <c r="I51" s="587">
        <v>2</v>
      </c>
      <c r="J51" s="587">
        <v>1</v>
      </c>
      <c r="K51" s="587">
        <v>0</v>
      </c>
      <c r="L51" s="587">
        <v>12</v>
      </c>
      <c r="M51" s="587">
        <v>11</v>
      </c>
      <c r="N51" s="587">
        <v>8</v>
      </c>
      <c r="O51" s="587">
        <v>8</v>
      </c>
      <c r="P51" s="587">
        <v>14</v>
      </c>
      <c r="Q51" s="1293">
        <v>11</v>
      </c>
      <c r="R51" s="587">
        <v>10</v>
      </c>
      <c r="S51" s="587">
        <v>18</v>
      </c>
      <c r="T51" s="588">
        <v>21</v>
      </c>
      <c r="U51" s="1166">
        <v>3</v>
      </c>
    </row>
    <row r="52" spans="1:22">
      <c r="A52" s="498"/>
      <c r="B52" s="502"/>
      <c r="C52" s="502" t="s">
        <v>52</v>
      </c>
      <c r="D52" s="590">
        <v>2176</v>
      </c>
      <c r="E52" s="590">
        <v>2984</v>
      </c>
      <c r="F52" s="590">
        <v>3374</v>
      </c>
      <c r="G52" s="590">
        <v>3262</v>
      </c>
      <c r="H52" s="590">
        <v>2368</v>
      </c>
      <c r="I52" s="590">
        <v>2184</v>
      </c>
      <c r="J52" s="590">
        <v>2675</v>
      </c>
      <c r="K52" s="590">
        <v>2807</v>
      </c>
      <c r="L52" s="590">
        <v>2942</v>
      </c>
      <c r="M52" s="590">
        <v>3626</v>
      </c>
      <c r="N52" s="590">
        <v>3413</v>
      </c>
      <c r="O52" s="590">
        <v>3568</v>
      </c>
      <c r="P52" s="590">
        <v>3238</v>
      </c>
      <c r="Q52" s="1294">
        <v>2806</v>
      </c>
      <c r="R52" s="590">
        <v>2748</v>
      </c>
      <c r="S52" s="590">
        <v>3316</v>
      </c>
      <c r="T52" s="539">
        <v>3700</v>
      </c>
      <c r="U52" s="1167">
        <f>SUM(U50:U51)</f>
        <v>3541</v>
      </c>
    </row>
    <row r="53" spans="1:22">
      <c r="A53" s="498"/>
      <c r="B53" s="499" t="s">
        <v>314</v>
      </c>
      <c r="C53" s="499" t="s">
        <v>127</v>
      </c>
      <c r="D53" s="589">
        <v>800</v>
      </c>
      <c r="E53" s="589">
        <v>1044</v>
      </c>
      <c r="F53" s="589">
        <v>1392</v>
      </c>
      <c r="G53" s="589">
        <v>1891</v>
      </c>
      <c r="H53" s="589">
        <v>2193</v>
      </c>
      <c r="I53" s="589">
        <v>2225</v>
      </c>
      <c r="J53" s="589">
        <v>2198</v>
      </c>
      <c r="K53" s="589">
        <v>2212</v>
      </c>
      <c r="L53" s="589">
        <v>2977</v>
      </c>
      <c r="M53" s="589">
        <v>2930</v>
      </c>
      <c r="N53" s="589">
        <v>2963</v>
      </c>
      <c r="O53" s="589">
        <v>3071</v>
      </c>
      <c r="P53" s="589">
        <v>3790</v>
      </c>
      <c r="Q53" s="1096">
        <v>3847</v>
      </c>
      <c r="R53" s="589">
        <v>4774</v>
      </c>
      <c r="S53" s="589">
        <v>5187</v>
      </c>
      <c r="T53" s="537">
        <v>5563</v>
      </c>
      <c r="U53" s="1264">
        <v>6147</v>
      </c>
    </row>
    <row r="54" spans="1:22">
      <c r="A54" s="498"/>
      <c r="B54" s="499" t="s">
        <v>315</v>
      </c>
      <c r="C54" s="580" t="s">
        <v>56</v>
      </c>
      <c r="D54" s="585">
        <v>871</v>
      </c>
      <c r="E54" s="585">
        <v>1177</v>
      </c>
      <c r="F54" s="585">
        <v>1514</v>
      </c>
      <c r="G54" s="585">
        <v>1871</v>
      </c>
      <c r="H54" s="585">
        <v>2121</v>
      </c>
      <c r="I54" s="585">
        <v>2035</v>
      </c>
      <c r="J54" s="585">
        <v>1884</v>
      </c>
      <c r="K54" s="585">
        <v>1972</v>
      </c>
      <c r="L54" s="585">
        <v>2286</v>
      </c>
      <c r="M54" s="585">
        <v>2364</v>
      </c>
      <c r="N54" s="585">
        <v>2586</v>
      </c>
      <c r="O54" s="585">
        <v>2564</v>
      </c>
      <c r="P54" s="585">
        <v>2620</v>
      </c>
      <c r="Q54" s="1292">
        <v>2610</v>
      </c>
      <c r="R54" s="585">
        <v>2807</v>
      </c>
      <c r="S54" s="585">
        <v>3455</v>
      </c>
      <c r="T54" s="586">
        <v>3629</v>
      </c>
      <c r="U54" s="1166">
        <v>3530</v>
      </c>
      <c r="V54" s="958"/>
    </row>
    <row r="55" spans="1:22">
      <c r="A55" s="498"/>
      <c r="B55" s="499"/>
      <c r="C55" s="580" t="s">
        <v>121</v>
      </c>
      <c r="D55" s="585">
        <v>223</v>
      </c>
      <c r="E55" s="585">
        <v>246</v>
      </c>
      <c r="F55" s="585">
        <v>227</v>
      </c>
      <c r="G55" s="585">
        <v>263</v>
      </c>
      <c r="H55" s="585">
        <v>423</v>
      </c>
      <c r="I55" s="585">
        <v>328</v>
      </c>
      <c r="J55" s="585">
        <v>344</v>
      </c>
      <c r="K55" s="585">
        <v>363</v>
      </c>
      <c r="L55" s="585">
        <v>442</v>
      </c>
      <c r="M55" s="585">
        <v>730</v>
      </c>
      <c r="N55" s="585">
        <v>888</v>
      </c>
      <c r="O55" s="585">
        <v>899</v>
      </c>
      <c r="P55" s="585">
        <v>1127</v>
      </c>
      <c r="Q55" s="1292">
        <v>894</v>
      </c>
      <c r="R55" s="585">
        <v>915</v>
      </c>
      <c r="S55" s="585">
        <v>1226</v>
      </c>
      <c r="T55" s="586">
        <v>977</v>
      </c>
      <c r="U55" s="1166">
        <v>1499</v>
      </c>
      <c r="V55" s="958"/>
    </row>
    <row r="56" spans="1:22">
      <c r="A56" s="498"/>
      <c r="B56" s="499"/>
      <c r="C56" s="580" t="s">
        <v>58</v>
      </c>
      <c r="D56" s="585">
        <v>925</v>
      </c>
      <c r="E56" s="585">
        <v>1307</v>
      </c>
      <c r="F56" s="585">
        <v>1649</v>
      </c>
      <c r="G56" s="585">
        <v>1996</v>
      </c>
      <c r="H56" s="585">
        <v>2522</v>
      </c>
      <c r="I56" s="585">
        <v>2431</v>
      </c>
      <c r="J56" s="585">
        <v>2838</v>
      </c>
      <c r="K56" s="585">
        <v>2850</v>
      </c>
      <c r="L56" s="585">
        <v>3172</v>
      </c>
      <c r="M56" s="585">
        <v>3448</v>
      </c>
      <c r="N56" s="585">
        <v>4003</v>
      </c>
      <c r="O56" s="585">
        <v>4493</v>
      </c>
      <c r="P56" s="585">
        <v>4927</v>
      </c>
      <c r="Q56" s="1292">
        <v>5036</v>
      </c>
      <c r="R56" s="585">
        <v>5328</v>
      </c>
      <c r="S56" s="585">
        <v>6048</v>
      </c>
      <c r="T56" s="586">
        <v>6436</v>
      </c>
      <c r="U56" s="1166">
        <v>6782</v>
      </c>
      <c r="V56" s="958"/>
    </row>
    <row r="57" spans="1:22">
      <c r="A57" s="498"/>
      <c r="B57" s="499"/>
      <c r="C57" s="580" t="s">
        <v>59</v>
      </c>
      <c r="D57" s="585">
        <v>754</v>
      </c>
      <c r="E57" s="585">
        <v>907</v>
      </c>
      <c r="F57" s="585">
        <v>1058</v>
      </c>
      <c r="G57" s="585">
        <v>1568</v>
      </c>
      <c r="H57" s="585">
        <v>2410</v>
      </c>
      <c r="I57" s="585">
        <v>3348</v>
      </c>
      <c r="J57" s="585">
        <v>3906</v>
      </c>
      <c r="K57" s="585">
        <v>4304</v>
      </c>
      <c r="L57" s="585">
        <v>5292</v>
      </c>
      <c r="M57" s="585">
        <v>6112</v>
      </c>
      <c r="N57" s="585">
        <v>7365</v>
      </c>
      <c r="O57" s="585">
        <v>7779</v>
      </c>
      <c r="P57" s="585">
        <v>8948</v>
      </c>
      <c r="Q57" s="1292">
        <v>9390</v>
      </c>
      <c r="R57" s="585">
        <v>9890</v>
      </c>
      <c r="S57" s="585">
        <v>11096</v>
      </c>
      <c r="T57" s="586">
        <v>11463</v>
      </c>
      <c r="U57" s="1166">
        <v>11848</v>
      </c>
      <c r="V57" s="958"/>
    </row>
    <row r="58" spans="1:22">
      <c r="A58" s="498"/>
      <c r="B58" s="499"/>
      <c r="C58" s="582" t="s">
        <v>51</v>
      </c>
      <c r="D58" s="587">
        <v>868</v>
      </c>
      <c r="E58" s="587">
        <v>1059</v>
      </c>
      <c r="F58" s="587">
        <v>2034</v>
      </c>
      <c r="G58" s="587">
        <v>1616</v>
      </c>
      <c r="H58" s="587">
        <v>1538</v>
      </c>
      <c r="I58" s="587">
        <v>1011</v>
      </c>
      <c r="J58" s="587">
        <v>1697</v>
      </c>
      <c r="K58" s="587">
        <v>2509</v>
      </c>
      <c r="L58" s="587">
        <v>3069</v>
      </c>
      <c r="M58" s="587">
        <v>3502</v>
      </c>
      <c r="N58" s="587">
        <v>3285</v>
      </c>
      <c r="O58" s="587">
        <v>4229</v>
      </c>
      <c r="P58" s="587">
        <v>3745</v>
      </c>
      <c r="Q58" s="1293">
        <v>4213</v>
      </c>
      <c r="R58" s="587">
        <v>5016</v>
      </c>
      <c r="S58" s="587">
        <v>6174</v>
      </c>
      <c r="T58" s="961">
        <v>6124</v>
      </c>
      <c r="U58" s="1263">
        <v>6769</v>
      </c>
      <c r="V58" s="959"/>
    </row>
    <row r="59" spans="1:22">
      <c r="A59" s="498"/>
      <c r="B59" s="499"/>
      <c r="C59" s="499" t="s">
        <v>52</v>
      </c>
      <c r="D59" s="589">
        <v>4441</v>
      </c>
      <c r="E59" s="589">
        <v>5740</v>
      </c>
      <c r="F59" s="589">
        <v>7874</v>
      </c>
      <c r="G59" s="589">
        <v>9205</v>
      </c>
      <c r="H59" s="589">
        <v>11207</v>
      </c>
      <c r="I59" s="589">
        <v>11378</v>
      </c>
      <c r="J59" s="589">
        <v>12867</v>
      </c>
      <c r="K59" s="589">
        <v>14210</v>
      </c>
      <c r="L59" s="589">
        <v>17238</v>
      </c>
      <c r="M59" s="589">
        <v>19086</v>
      </c>
      <c r="N59" s="589">
        <v>21090</v>
      </c>
      <c r="O59" s="589">
        <v>23035</v>
      </c>
      <c r="P59" s="589">
        <v>25157</v>
      </c>
      <c r="Q59" s="1096">
        <v>25990</v>
      </c>
      <c r="R59" s="589">
        <v>28730</v>
      </c>
      <c r="S59" s="589">
        <v>33186</v>
      </c>
      <c r="T59" s="537">
        <v>34192</v>
      </c>
      <c r="U59" s="1167">
        <v>36575</v>
      </c>
      <c r="V59" s="605"/>
    </row>
    <row r="60" spans="1:22">
      <c r="A60" s="501"/>
      <c r="B60" s="516" t="s">
        <v>52</v>
      </c>
      <c r="C60" s="516"/>
      <c r="D60" s="591">
        <v>136176</v>
      </c>
      <c r="E60" s="591">
        <v>161555</v>
      </c>
      <c r="F60" s="591">
        <v>172650</v>
      </c>
      <c r="G60" s="591">
        <v>174896</v>
      </c>
      <c r="H60" s="591">
        <v>172352</v>
      </c>
      <c r="I60" s="591">
        <v>168805</v>
      </c>
      <c r="J60" s="591">
        <v>177695</v>
      </c>
      <c r="K60" s="591">
        <v>187651</v>
      </c>
      <c r="L60" s="591">
        <v>203643</v>
      </c>
      <c r="M60" s="591">
        <v>223311</v>
      </c>
      <c r="N60" s="591">
        <v>230403</v>
      </c>
      <c r="O60" s="591">
        <v>237844</v>
      </c>
      <c r="P60" s="591">
        <v>233530</v>
      </c>
      <c r="Q60" s="1195">
        <v>226336</v>
      </c>
      <c r="R60" s="591">
        <v>231708</v>
      </c>
      <c r="S60" s="591">
        <v>248133</v>
      </c>
      <c r="T60" s="592">
        <v>260164</v>
      </c>
      <c r="U60" s="1168">
        <v>267165</v>
      </c>
      <c r="V60" s="605"/>
    </row>
    <row r="61" spans="1:22">
      <c r="A61" s="497" t="s">
        <v>58</v>
      </c>
      <c r="B61" s="579" t="s">
        <v>296</v>
      </c>
      <c r="C61" s="579" t="s">
        <v>127</v>
      </c>
      <c r="D61" s="583">
        <v>105</v>
      </c>
      <c r="E61" s="583">
        <v>93</v>
      </c>
      <c r="F61" s="583">
        <v>219</v>
      </c>
      <c r="G61" s="583">
        <v>245</v>
      </c>
      <c r="H61" s="583">
        <v>271</v>
      </c>
      <c r="I61" s="583">
        <v>237</v>
      </c>
      <c r="J61" s="583">
        <v>208</v>
      </c>
      <c r="K61" s="583">
        <v>206</v>
      </c>
      <c r="L61" s="583">
        <v>249</v>
      </c>
      <c r="M61" s="583">
        <v>400</v>
      </c>
      <c r="N61" s="583">
        <v>733</v>
      </c>
      <c r="O61" s="583">
        <v>1044</v>
      </c>
      <c r="P61" s="583">
        <v>1252</v>
      </c>
      <c r="Q61" s="1291">
        <v>1850</v>
      </c>
      <c r="R61" s="583">
        <v>1475</v>
      </c>
      <c r="S61" s="583">
        <v>1538</v>
      </c>
      <c r="T61" s="584">
        <v>3152</v>
      </c>
      <c r="U61" s="1108">
        <v>2752</v>
      </c>
    </row>
    <row r="62" spans="1:22">
      <c r="A62" s="498"/>
      <c r="B62" s="499"/>
      <c r="C62" s="580" t="s">
        <v>56</v>
      </c>
      <c r="D62" s="585">
        <v>112</v>
      </c>
      <c r="E62" s="585">
        <v>156</v>
      </c>
      <c r="F62" s="585">
        <v>221</v>
      </c>
      <c r="G62" s="585">
        <v>269</v>
      </c>
      <c r="H62" s="585">
        <v>311</v>
      </c>
      <c r="I62" s="585">
        <v>393</v>
      </c>
      <c r="J62" s="585">
        <v>424</v>
      </c>
      <c r="K62" s="585">
        <v>447</v>
      </c>
      <c r="L62" s="585">
        <v>561</v>
      </c>
      <c r="M62" s="585">
        <v>630</v>
      </c>
      <c r="N62" s="585">
        <v>752</v>
      </c>
      <c r="O62" s="585">
        <v>635</v>
      </c>
      <c r="P62" s="585">
        <v>675</v>
      </c>
      <c r="Q62" s="1292">
        <v>808</v>
      </c>
      <c r="R62" s="585">
        <v>1736</v>
      </c>
      <c r="S62" s="585">
        <v>3056</v>
      </c>
      <c r="T62" s="586">
        <v>3076</v>
      </c>
      <c r="U62" s="1166">
        <v>2505</v>
      </c>
    </row>
    <row r="63" spans="1:22">
      <c r="A63" s="498"/>
      <c r="B63" s="499"/>
      <c r="C63" s="580" t="s">
        <v>121</v>
      </c>
      <c r="D63" s="585">
        <v>48</v>
      </c>
      <c r="E63" s="585">
        <v>34</v>
      </c>
      <c r="F63" s="585">
        <v>50</v>
      </c>
      <c r="G63" s="585">
        <v>82</v>
      </c>
      <c r="H63" s="585">
        <v>161</v>
      </c>
      <c r="I63" s="585">
        <v>128</v>
      </c>
      <c r="J63" s="585">
        <v>116</v>
      </c>
      <c r="K63" s="585">
        <v>167</v>
      </c>
      <c r="L63" s="585">
        <v>196</v>
      </c>
      <c r="M63" s="585">
        <v>224</v>
      </c>
      <c r="N63" s="585">
        <v>354</v>
      </c>
      <c r="O63" s="585">
        <v>378</v>
      </c>
      <c r="P63" s="585">
        <v>541</v>
      </c>
      <c r="Q63" s="1292">
        <v>500</v>
      </c>
      <c r="R63" s="585">
        <v>599</v>
      </c>
      <c r="S63" s="585">
        <v>609</v>
      </c>
      <c r="T63" s="586">
        <v>639</v>
      </c>
      <c r="U63" s="1166">
        <v>1281</v>
      </c>
    </row>
    <row r="64" spans="1:22">
      <c r="A64" s="498"/>
      <c r="B64" s="499"/>
      <c r="C64" s="580" t="s">
        <v>58</v>
      </c>
      <c r="D64" s="585">
        <v>65586</v>
      </c>
      <c r="E64" s="585">
        <v>93172</v>
      </c>
      <c r="F64" s="585">
        <v>121968</v>
      </c>
      <c r="G64" s="585">
        <v>152299</v>
      </c>
      <c r="H64" s="585">
        <v>194005</v>
      </c>
      <c r="I64" s="585">
        <v>228456</v>
      </c>
      <c r="J64" s="585">
        <v>291960</v>
      </c>
      <c r="K64" s="585">
        <v>413540</v>
      </c>
      <c r="L64" s="585">
        <v>533245</v>
      </c>
      <c r="M64" s="585">
        <v>702013</v>
      </c>
      <c r="N64" s="585">
        <v>798074</v>
      </c>
      <c r="O64" s="585">
        <v>965137</v>
      </c>
      <c r="P64" s="585">
        <v>1200383</v>
      </c>
      <c r="Q64" s="1292">
        <v>1245128</v>
      </c>
      <c r="R64" s="585">
        <v>1393195</v>
      </c>
      <c r="S64" s="585">
        <v>1242826</v>
      </c>
      <c r="T64" s="586">
        <v>1344166</v>
      </c>
      <c r="U64" s="1166">
        <v>1425749</v>
      </c>
    </row>
    <row r="65" spans="1:25">
      <c r="A65" s="498"/>
      <c r="B65" s="499"/>
      <c r="C65" s="580" t="s">
        <v>59</v>
      </c>
      <c r="D65" s="585">
        <v>1443</v>
      </c>
      <c r="E65" s="585">
        <v>1858</v>
      </c>
      <c r="F65" s="585">
        <v>3346</v>
      </c>
      <c r="G65" s="585">
        <v>3333</v>
      </c>
      <c r="H65" s="585">
        <v>3732</v>
      </c>
      <c r="I65" s="585">
        <v>5830</v>
      </c>
      <c r="J65" s="585">
        <v>6321</v>
      </c>
      <c r="K65" s="585">
        <v>7090</v>
      </c>
      <c r="L65" s="585">
        <v>8179</v>
      </c>
      <c r="M65" s="585">
        <v>9689</v>
      </c>
      <c r="N65" s="585">
        <v>10827</v>
      </c>
      <c r="O65" s="585">
        <v>11852</v>
      </c>
      <c r="P65" s="585">
        <v>15416</v>
      </c>
      <c r="Q65" s="1292">
        <v>16581</v>
      </c>
      <c r="R65" s="585">
        <v>19874</v>
      </c>
      <c r="S65" s="585">
        <v>22950</v>
      </c>
      <c r="T65" s="586">
        <v>25230</v>
      </c>
      <c r="U65" s="1166">
        <v>28410</v>
      </c>
    </row>
    <row r="66" spans="1:25">
      <c r="A66" s="498"/>
      <c r="B66" s="499"/>
      <c r="C66" s="582" t="s">
        <v>51</v>
      </c>
      <c r="D66" s="587">
        <v>158</v>
      </c>
      <c r="E66" s="587">
        <v>226</v>
      </c>
      <c r="F66" s="587">
        <v>439</v>
      </c>
      <c r="G66" s="587">
        <v>511</v>
      </c>
      <c r="H66" s="587">
        <v>612</v>
      </c>
      <c r="I66" s="587">
        <v>664</v>
      </c>
      <c r="J66" s="587">
        <v>714</v>
      </c>
      <c r="K66" s="587">
        <v>898</v>
      </c>
      <c r="L66" s="587">
        <v>1034</v>
      </c>
      <c r="M66" s="587">
        <v>1353</v>
      </c>
      <c r="N66" s="587">
        <v>1874</v>
      </c>
      <c r="O66" s="587">
        <v>1917</v>
      </c>
      <c r="P66" s="587">
        <v>2381</v>
      </c>
      <c r="Q66" s="1293">
        <v>2772</v>
      </c>
      <c r="R66" s="587">
        <v>4017</v>
      </c>
      <c r="S66" s="587">
        <v>3772</v>
      </c>
      <c r="T66" s="588">
        <v>9058</v>
      </c>
      <c r="U66" s="1166">
        <v>11353</v>
      </c>
    </row>
    <row r="67" spans="1:25">
      <c r="A67" s="498"/>
      <c r="B67" s="499"/>
      <c r="C67" s="499" t="s">
        <v>52</v>
      </c>
      <c r="D67" s="589">
        <v>67452</v>
      </c>
      <c r="E67" s="589">
        <v>95539</v>
      </c>
      <c r="F67" s="589">
        <v>126243</v>
      </c>
      <c r="G67" s="589">
        <v>156739</v>
      </c>
      <c r="H67" s="589">
        <v>199092</v>
      </c>
      <c r="I67" s="589">
        <v>235708</v>
      </c>
      <c r="J67" s="589">
        <v>299743</v>
      </c>
      <c r="K67" s="589">
        <v>422348</v>
      </c>
      <c r="L67" s="589">
        <v>543464</v>
      </c>
      <c r="M67" s="589">
        <v>714309</v>
      </c>
      <c r="N67" s="589">
        <v>812614</v>
      </c>
      <c r="O67" s="589">
        <v>980963</v>
      </c>
      <c r="P67" s="589">
        <v>1220648</v>
      </c>
      <c r="Q67" s="1096">
        <v>1267639</v>
      </c>
      <c r="R67" s="589">
        <v>1420896</v>
      </c>
      <c r="S67" s="589">
        <v>1274751</v>
      </c>
      <c r="T67" s="537">
        <v>1385321</v>
      </c>
      <c r="U67" s="1167">
        <v>1472050</v>
      </c>
    </row>
    <row r="68" spans="1:25">
      <c r="A68" s="498"/>
      <c r="B68" s="579" t="s">
        <v>297</v>
      </c>
      <c r="C68" s="579" t="s">
        <v>127</v>
      </c>
      <c r="D68" s="583">
        <v>167</v>
      </c>
      <c r="E68" s="583">
        <v>193</v>
      </c>
      <c r="F68" s="583">
        <v>284</v>
      </c>
      <c r="G68" s="583">
        <v>397</v>
      </c>
      <c r="H68" s="583">
        <v>383</v>
      </c>
      <c r="I68" s="583">
        <v>385</v>
      </c>
      <c r="J68" s="583">
        <v>466</v>
      </c>
      <c r="K68" s="583">
        <v>540</v>
      </c>
      <c r="L68" s="583">
        <v>566</v>
      </c>
      <c r="M68" s="583">
        <v>871</v>
      </c>
      <c r="N68" s="583">
        <v>880</v>
      </c>
      <c r="O68" s="583">
        <v>1064</v>
      </c>
      <c r="P68" s="583">
        <v>1690</v>
      </c>
      <c r="Q68" s="1291">
        <v>2002</v>
      </c>
      <c r="R68" s="583">
        <v>2339</v>
      </c>
      <c r="S68" s="583">
        <v>2677</v>
      </c>
      <c r="T68" s="584">
        <v>2708</v>
      </c>
      <c r="U68" s="1108">
        <v>3468</v>
      </c>
    </row>
    <row r="69" spans="1:25">
      <c r="A69" s="498"/>
      <c r="B69" s="499"/>
      <c r="C69" s="582" t="s">
        <v>51</v>
      </c>
      <c r="D69" s="587">
        <v>1</v>
      </c>
      <c r="E69" s="587">
        <v>1</v>
      </c>
      <c r="F69" s="587">
        <v>0</v>
      </c>
      <c r="G69" s="587">
        <v>0</v>
      </c>
      <c r="H69" s="587">
        <v>0</v>
      </c>
      <c r="I69" s="587">
        <v>0</v>
      </c>
      <c r="J69" s="587">
        <v>2</v>
      </c>
      <c r="K69" s="587">
        <v>3</v>
      </c>
      <c r="L69" s="587">
        <v>17</v>
      </c>
      <c r="M69" s="587">
        <v>15</v>
      </c>
      <c r="N69" s="587">
        <v>91</v>
      </c>
      <c r="O69" s="587">
        <v>17</v>
      </c>
      <c r="P69" s="587">
        <v>7</v>
      </c>
      <c r="Q69" s="1293">
        <v>12</v>
      </c>
      <c r="R69" s="587">
        <v>30</v>
      </c>
      <c r="S69" s="587">
        <v>24</v>
      </c>
      <c r="T69" s="588">
        <v>32</v>
      </c>
      <c r="U69" s="1166">
        <v>12</v>
      </c>
    </row>
    <row r="70" spans="1:25">
      <c r="A70" s="498"/>
      <c r="B70" s="502"/>
      <c r="C70" s="502" t="s">
        <v>52</v>
      </c>
      <c r="D70" s="590">
        <v>168</v>
      </c>
      <c r="E70" s="590">
        <v>194</v>
      </c>
      <c r="F70" s="590">
        <v>284</v>
      </c>
      <c r="G70" s="590">
        <v>397</v>
      </c>
      <c r="H70" s="590">
        <v>383</v>
      </c>
      <c r="I70" s="590">
        <v>385</v>
      </c>
      <c r="J70" s="590">
        <v>468</v>
      </c>
      <c r="K70" s="590">
        <v>543</v>
      </c>
      <c r="L70" s="590">
        <v>568</v>
      </c>
      <c r="M70" s="590">
        <v>886</v>
      </c>
      <c r="N70" s="590">
        <v>971</v>
      </c>
      <c r="O70" s="590">
        <v>1081</v>
      </c>
      <c r="P70" s="590">
        <v>1697</v>
      </c>
      <c r="Q70" s="1294">
        <v>2014</v>
      </c>
      <c r="R70" s="590">
        <v>2369</v>
      </c>
      <c r="S70" s="590">
        <v>2701</v>
      </c>
      <c r="T70" s="539">
        <v>2740</v>
      </c>
      <c r="U70" s="1167">
        <f>SUM(U68:U69)</f>
        <v>3480</v>
      </c>
    </row>
    <row r="71" spans="1:25">
      <c r="A71" s="498"/>
      <c r="B71" s="499" t="s">
        <v>314</v>
      </c>
      <c r="C71" s="499" t="s">
        <v>127</v>
      </c>
      <c r="D71" s="589">
        <v>322</v>
      </c>
      <c r="E71" s="589">
        <v>396</v>
      </c>
      <c r="F71" s="589">
        <v>511</v>
      </c>
      <c r="G71" s="589">
        <v>886</v>
      </c>
      <c r="H71" s="589">
        <v>1231</v>
      </c>
      <c r="I71" s="589">
        <v>1342</v>
      </c>
      <c r="J71" s="589">
        <v>1692</v>
      </c>
      <c r="K71" s="589">
        <v>2147</v>
      </c>
      <c r="L71" s="589">
        <v>3393</v>
      </c>
      <c r="M71" s="589">
        <v>3566</v>
      </c>
      <c r="N71" s="589">
        <v>4179</v>
      </c>
      <c r="O71" s="589">
        <v>5086</v>
      </c>
      <c r="P71" s="589">
        <v>5877</v>
      </c>
      <c r="Q71" s="1096">
        <v>7228</v>
      </c>
      <c r="R71" s="589">
        <v>7513</v>
      </c>
      <c r="S71" s="589">
        <v>9915</v>
      </c>
      <c r="T71" s="537">
        <v>11309</v>
      </c>
      <c r="U71" s="1264">
        <v>13938</v>
      </c>
    </row>
    <row r="72" spans="1:25">
      <c r="A72" s="498"/>
      <c r="B72" s="499" t="s">
        <v>315</v>
      </c>
      <c r="C72" s="580" t="s">
        <v>56</v>
      </c>
      <c r="D72" s="585">
        <v>143</v>
      </c>
      <c r="E72" s="585">
        <v>241</v>
      </c>
      <c r="F72" s="585">
        <v>284</v>
      </c>
      <c r="G72" s="585">
        <v>397</v>
      </c>
      <c r="H72" s="585">
        <v>461</v>
      </c>
      <c r="I72" s="585">
        <v>498</v>
      </c>
      <c r="J72" s="585">
        <v>639</v>
      </c>
      <c r="K72" s="585">
        <v>954</v>
      </c>
      <c r="L72" s="585">
        <v>1461</v>
      </c>
      <c r="M72" s="585">
        <v>1434</v>
      </c>
      <c r="N72" s="585">
        <v>1779</v>
      </c>
      <c r="O72" s="585">
        <v>2205</v>
      </c>
      <c r="P72" s="585">
        <v>3135</v>
      </c>
      <c r="Q72" s="1292">
        <v>3364</v>
      </c>
      <c r="R72" s="585">
        <v>3589</v>
      </c>
      <c r="S72" s="585">
        <v>4891</v>
      </c>
      <c r="T72" s="586">
        <v>5330</v>
      </c>
      <c r="U72" s="1166">
        <v>6864</v>
      </c>
    </row>
    <row r="73" spans="1:25">
      <c r="A73" s="498"/>
      <c r="B73" s="499"/>
      <c r="C73" s="580" t="s">
        <v>121</v>
      </c>
      <c r="D73" s="585">
        <v>81</v>
      </c>
      <c r="E73" s="585">
        <v>114</v>
      </c>
      <c r="F73" s="585">
        <v>147</v>
      </c>
      <c r="G73" s="585">
        <v>214</v>
      </c>
      <c r="H73" s="585">
        <v>320</v>
      </c>
      <c r="I73" s="585">
        <v>298</v>
      </c>
      <c r="J73" s="585">
        <v>401</v>
      </c>
      <c r="K73" s="585">
        <v>585</v>
      </c>
      <c r="L73" s="585">
        <v>786</v>
      </c>
      <c r="M73" s="585">
        <v>923</v>
      </c>
      <c r="N73" s="585">
        <v>1218</v>
      </c>
      <c r="O73" s="585">
        <v>1569</v>
      </c>
      <c r="P73" s="585">
        <v>2288</v>
      </c>
      <c r="Q73" s="1292">
        <v>2515</v>
      </c>
      <c r="R73" s="585">
        <v>2541</v>
      </c>
      <c r="S73" s="585">
        <v>3114</v>
      </c>
      <c r="T73" s="586">
        <v>3643</v>
      </c>
      <c r="U73" s="1166">
        <v>5019</v>
      </c>
    </row>
    <row r="74" spans="1:25">
      <c r="A74" s="498"/>
      <c r="B74" s="499"/>
      <c r="C74" s="580" t="s">
        <v>58</v>
      </c>
      <c r="D74" s="585">
        <v>200</v>
      </c>
      <c r="E74" s="585">
        <v>313</v>
      </c>
      <c r="F74" s="585">
        <v>350</v>
      </c>
      <c r="G74" s="585">
        <v>761</v>
      </c>
      <c r="H74" s="585">
        <v>574</v>
      </c>
      <c r="I74" s="585">
        <v>640</v>
      </c>
      <c r="J74" s="585">
        <v>1107</v>
      </c>
      <c r="K74" s="585">
        <v>2289</v>
      </c>
      <c r="L74" s="585">
        <v>2068</v>
      </c>
      <c r="M74" s="585">
        <v>2923</v>
      </c>
      <c r="N74" s="585">
        <v>3061</v>
      </c>
      <c r="O74" s="585">
        <v>3115</v>
      </c>
      <c r="P74" s="585">
        <v>4598</v>
      </c>
      <c r="Q74" s="1292">
        <v>581</v>
      </c>
      <c r="R74" s="585">
        <v>620</v>
      </c>
      <c r="S74" s="585">
        <v>742</v>
      </c>
      <c r="T74" s="586">
        <v>651</v>
      </c>
      <c r="U74" s="1166">
        <v>895</v>
      </c>
    </row>
    <row r="75" spans="1:25">
      <c r="A75" s="498"/>
      <c r="B75" s="499"/>
      <c r="C75" s="580" t="s">
        <v>59</v>
      </c>
      <c r="D75" s="585">
        <v>212</v>
      </c>
      <c r="E75" s="585">
        <v>269</v>
      </c>
      <c r="F75" s="585">
        <v>422</v>
      </c>
      <c r="G75" s="585">
        <v>570</v>
      </c>
      <c r="H75" s="585">
        <v>723</v>
      </c>
      <c r="I75" s="585">
        <v>1049</v>
      </c>
      <c r="J75" s="585">
        <v>1841</v>
      </c>
      <c r="K75" s="585">
        <v>3455</v>
      </c>
      <c r="L75" s="585">
        <v>5094</v>
      </c>
      <c r="M75" s="585">
        <v>5404</v>
      </c>
      <c r="N75" s="585">
        <v>7213</v>
      </c>
      <c r="O75" s="585">
        <v>9534</v>
      </c>
      <c r="P75" s="585">
        <v>10610</v>
      </c>
      <c r="Q75" s="1292">
        <v>13093</v>
      </c>
      <c r="R75" s="585">
        <v>12741</v>
      </c>
      <c r="S75" s="585">
        <v>16105</v>
      </c>
      <c r="T75" s="586">
        <v>15980</v>
      </c>
      <c r="U75" s="1166">
        <v>17432</v>
      </c>
    </row>
    <row r="76" spans="1:25">
      <c r="A76" s="498"/>
      <c r="B76" s="499"/>
      <c r="C76" s="582" t="s">
        <v>51</v>
      </c>
      <c r="D76" s="587">
        <v>306</v>
      </c>
      <c r="E76" s="587">
        <v>388</v>
      </c>
      <c r="F76" s="587">
        <v>546</v>
      </c>
      <c r="G76" s="587">
        <v>559</v>
      </c>
      <c r="H76" s="587">
        <v>699</v>
      </c>
      <c r="I76" s="587">
        <v>507</v>
      </c>
      <c r="J76" s="587">
        <v>1369</v>
      </c>
      <c r="K76" s="587">
        <v>3430</v>
      </c>
      <c r="L76" s="587">
        <v>4176</v>
      </c>
      <c r="M76" s="587">
        <v>3856</v>
      </c>
      <c r="N76" s="587">
        <v>5023</v>
      </c>
      <c r="O76" s="587">
        <v>6041</v>
      </c>
      <c r="P76" s="587">
        <v>7887</v>
      </c>
      <c r="Q76" s="1293">
        <v>8508</v>
      </c>
      <c r="R76" s="587">
        <v>8987</v>
      </c>
      <c r="S76" s="587">
        <v>14897</v>
      </c>
      <c r="T76" s="961">
        <v>14725</v>
      </c>
      <c r="U76" s="1263">
        <v>17849</v>
      </c>
    </row>
    <row r="77" spans="1:25">
      <c r="A77" s="498"/>
      <c r="B77" s="499"/>
      <c r="C77" s="499" t="s">
        <v>52</v>
      </c>
      <c r="D77" s="589">
        <v>1264</v>
      </c>
      <c r="E77" s="589">
        <v>1721</v>
      </c>
      <c r="F77" s="589">
        <v>2260</v>
      </c>
      <c r="G77" s="589">
        <v>3387</v>
      </c>
      <c r="H77" s="589">
        <v>4008</v>
      </c>
      <c r="I77" s="589">
        <v>4334</v>
      </c>
      <c r="J77" s="589">
        <v>7049</v>
      </c>
      <c r="K77" s="589">
        <v>12860</v>
      </c>
      <c r="L77" s="589">
        <v>16978</v>
      </c>
      <c r="M77" s="589">
        <v>18106</v>
      </c>
      <c r="N77" s="589">
        <v>22473</v>
      </c>
      <c r="O77" s="589">
        <v>27550</v>
      </c>
      <c r="P77" s="589">
        <v>34395</v>
      </c>
      <c r="Q77" s="1096">
        <v>35289</v>
      </c>
      <c r="R77" s="589">
        <v>35991</v>
      </c>
      <c r="S77" s="589">
        <v>49664</v>
      </c>
      <c r="T77" s="537">
        <v>51638</v>
      </c>
      <c r="U77" s="1167">
        <v>61997</v>
      </c>
      <c r="Y77" s="958"/>
    </row>
    <row r="78" spans="1:25">
      <c r="A78" s="501"/>
      <c r="B78" s="516" t="s">
        <v>52</v>
      </c>
      <c r="C78" s="516"/>
      <c r="D78" s="591">
        <v>68884</v>
      </c>
      <c r="E78" s="591">
        <v>97454</v>
      </c>
      <c r="F78" s="591">
        <v>128787</v>
      </c>
      <c r="G78" s="591">
        <v>160523</v>
      </c>
      <c r="H78" s="591">
        <v>203483</v>
      </c>
      <c r="I78" s="591">
        <v>240427</v>
      </c>
      <c r="J78" s="591">
        <v>307260</v>
      </c>
      <c r="K78" s="591">
        <v>435751</v>
      </c>
      <c r="L78" s="591">
        <v>561010</v>
      </c>
      <c r="M78" s="591">
        <v>733301</v>
      </c>
      <c r="N78" s="591">
        <v>836058</v>
      </c>
      <c r="O78" s="591">
        <v>1009594</v>
      </c>
      <c r="P78" s="591">
        <v>1256740</v>
      </c>
      <c r="Q78" s="1195">
        <v>1304942</v>
      </c>
      <c r="R78" s="591">
        <v>1459256</v>
      </c>
      <c r="S78" s="591">
        <v>1327116</v>
      </c>
      <c r="T78" s="592">
        <v>1439699</v>
      </c>
      <c r="U78" s="1168">
        <v>1537527</v>
      </c>
      <c r="Y78" s="958"/>
    </row>
    <row r="79" spans="1:25">
      <c r="A79" s="497" t="s">
        <v>59</v>
      </c>
      <c r="B79" s="579" t="s">
        <v>296</v>
      </c>
      <c r="C79" s="579" t="s">
        <v>127</v>
      </c>
      <c r="D79" s="583">
        <v>7043</v>
      </c>
      <c r="E79" s="583">
        <v>7087</v>
      </c>
      <c r="F79" s="583">
        <v>5663</v>
      </c>
      <c r="G79" s="583">
        <v>5495</v>
      </c>
      <c r="H79" s="583">
        <v>5623</v>
      </c>
      <c r="I79" s="583">
        <v>4919</v>
      </c>
      <c r="J79" s="583">
        <v>5323</v>
      </c>
      <c r="K79" s="583">
        <v>6422</v>
      </c>
      <c r="L79" s="583">
        <v>6956</v>
      </c>
      <c r="M79" s="583">
        <v>6897</v>
      </c>
      <c r="N79" s="583">
        <v>6783</v>
      </c>
      <c r="O79" s="583">
        <v>6905</v>
      </c>
      <c r="P79" s="583">
        <v>7363</v>
      </c>
      <c r="Q79" s="1291">
        <v>7446</v>
      </c>
      <c r="R79" s="583">
        <v>7126</v>
      </c>
      <c r="S79" s="583">
        <v>6319</v>
      </c>
      <c r="T79" s="584">
        <v>6235</v>
      </c>
      <c r="U79" s="1108">
        <v>7165</v>
      </c>
      <c r="Y79" s="958"/>
    </row>
    <row r="80" spans="1:25">
      <c r="A80" s="498"/>
      <c r="B80" s="499"/>
      <c r="C80" s="580" t="s">
        <v>56</v>
      </c>
      <c r="D80" s="585">
        <v>8045</v>
      </c>
      <c r="E80" s="585">
        <v>8069</v>
      </c>
      <c r="F80" s="585">
        <v>7482</v>
      </c>
      <c r="G80" s="585">
        <v>7689</v>
      </c>
      <c r="H80" s="585">
        <v>7394</v>
      </c>
      <c r="I80" s="585">
        <v>7285</v>
      </c>
      <c r="J80" s="585">
        <v>8143</v>
      </c>
      <c r="K80" s="585">
        <v>8787</v>
      </c>
      <c r="L80" s="585">
        <v>9019</v>
      </c>
      <c r="M80" s="585">
        <v>9753</v>
      </c>
      <c r="N80" s="585">
        <v>10577</v>
      </c>
      <c r="O80" s="585">
        <v>9598</v>
      </c>
      <c r="P80" s="585">
        <v>9305</v>
      </c>
      <c r="Q80" s="1292">
        <v>9002</v>
      </c>
      <c r="R80" s="585">
        <v>8713</v>
      </c>
      <c r="S80" s="585">
        <v>8543</v>
      </c>
      <c r="T80" s="586">
        <v>7795</v>
      </c>
      <c r="U80" s="1166">
        <v>8845</v>
      </c>
      <c r="Y80" s="958"/>
    </row>
    <row r="81" spans="1:26">
      <c r="A81" s="498"/>
      <c r="B81" s="499"/>
      <c r="C81" s="580" t="s">
        <v>121</v>
      </c>
      <c r="D81" s="585">
        <v>2306</v>
      </c>
      <c r="E81" s="585">
        <v>2754</v>
      </c>
      <c r="F81" s="585">
        <v>1922</v>
      </c>
      <c r="G81" s="585">
        <v>1871</v>
      </c>
      <c r="H81" s="585">
        <v>1665</v>
      </c>
      <c r="I81" s="585">
        <v>1438</v>
      </c>
      <c r="J81" s="585">
        <v>1556</v>
      </c>
      <c r="K81" s="585">
        <v>1613</v>
      </c>
      <c r="L81" s="585">
        <v>1729</v>
      </c>
      <c r="M81" s="585">
        <v>1931</v>
      </c>
      <c r="N81" s="585">
        <v>1853</v>
      </c>
      <c r="O81" s="585">
        <v>1846</v>
      </c>
      <c r="P81" s="585">
        <v>1715</v>
      </c>
      <c r="Q81" s="1292">
        <v>1563</v>
      </c>
      <c r="R81" s="585">
        <v>1582</v>
      </c>
      <c r="S81" s="585">
        <v>1658</v>
      </c>
      <c r="T81" s="586">
        <v>1651</v>
      </c>
      <c r="U81" s="1166">
        <v>1664</v>
      </c>
      <c r="Y81" s="959"/>
    </row>
    <row r="82" spans="1:26">
      <c r="A82" s="498"/>
      <c r="B82" s="499"/>
      <c r="C82" s="580" t="s">
        <v>58</v>
      </c>
      <c r="D82" s="585">
        <v>4588</v>
      </c>
      <c r="E82" s="585">
        <v>6469</v>
      </c>
      <c r="F82" s="585">
        <v>6077</v>
      </c>
      <c r="G82" s="585">
        <v>8280</v>
      </c>
      <c r="H82" s="585">
        <v>6754</v>
      </c>
      <c r="I82" s="585">
        <v>6125</v>
      </c>
      <c r="J82" s="585">
        <v>7731</v>
      </c>
      <c r="K82" s="585">
        <v>11133</v>
      </c>
      <c r="L82" s="585">
        <v>11678</v>
      </c>
      <c r="M82" s="585">
        <v>11973</v>
      </c>
      <c r="N82" s="585">
        <v>12340</v>
      </c>
      <c r="O82" s="585">
        <v>12628</v>
      </c>
      <c r="P82" s="585">
        <v>14283</v>
      </c>
      <c r="Q82" s="1292">
        <v>13784</v>
      </c>
      <c r="R82" s="585">
        <v>15428</v>
      </c>
      <c r="S82" s="585">
        <v>15376</v>
      </c>
      <c r="T82" s="586">
        <v>14587</v>
      </c>
      <c r="U82" s="1166">
        <v>16749</v>
      </c>
      <c r="Y82" s="605"/>
      <c r="Z82" s="605"/>
    </row>
    <row r="83" spans="1:26">
      <c r="A83" s="498"/>
      <c r="B83" s="499"/>
      <c r="C83" s="580" t="s">
        <v>59</v>
      </c>
      <c r="D83" s="585">
        <v>185008</v>
      </c>
      <c r="E83" s="585">
        <v>202776</v>
      </c>
      <c r="F83" s="585">
        <v>215904</v>
      </c>
      <c r="G83" s="585">
        <v>234043</v>
      </c>
      <c r="H83" s="585">
        <v>223045</v>
      </c>
      <c r="I83" s="585">
        <v>213093</v>
      </c>
      <c r="J83" s="585">
        <v>227907</v>
      </c>
      <c r="K83" s="585">
        <v>231630</v>
      </c>
      <c r="L83" s="585">
        <v>250617</v>
      </c>
      <c r="M83" s="585">
        <v>264923</v>
      </c>
      <c r="N83" s="585">
        <v>260984</v>
      </c>
      <c r="O83" s="585">
        <v>260274</v>
      </c>
      <c r="P83" s="585">
        <v>264685</v>
      </c>
      <c r="Q83" s="1292">
        <v>260824</v>
      </c>
      <c r="R83" s="585">
        <v>250372</v>
      </c>
      <c r="S83" s="585">
        <v>248498</v>
      </c>
      <c r="T83" s="586">
        <v>232914</v>
      </c>
      <c r="U83" s="1166">
        <v>224805</v>
      </c>
    </row>
    <row r="84" spans="1:26">
      <c r="A84" s="498"/>
      <c r="B84" s="499"/>
      <c r="C84" s="582" t="s">
        <v>51</v>
      </c>
      <c r="D84" s="587">
        <v>11103</v>
      </c>
      <c r="E84" s="587">
        <v>17614</v>
      </c>
      <c r="F84" s="587">
        <v>18309</v>
      </c>
      <c r="G84" s="587">
        <v>16228</v>
      </c>
      <c r="H84" s="587">
        <v>17251</v>
      </c>
      <c r="I84" s="587">
        <v>14672</v>
      </c>
      <c r="J84" s="587">
        <v>15618</v>
      </c>
      <c r="K84" s="587">
        <v>19668</v>
      </c>
      <c r="L84" s="587">
        <v>22889</v>
      </c>
      <c r="M84" s="587">
        <v>24047</v>
      </c>
      <c r="N84" s="587">
        <v>23016</v>
      </c>
      <c r="O84" s="587">
        <v>24568</v>
      </c>
      <c r="P84" s="587">
        <v>27609</v>
      </c>
      <c r="Q84" s="1293">
        <v>23608</v>
      </c>
      <c r="R84" s="587">
        <v>22581</v>
      </c>
      <c r="S84" s="587">
        <v>21882</v>
      </c>
      <c r="T84" s="588">
        <v>21607</v>
      </c>
      <c r="U84" s="1166">
        <v>23355</v>
      </c>
    </row>
    <row r="85" spans="1:26">
      <c r="A85" s="498"/>
      <c r="B85" s="499"/>
      <c r="C85" s="499" t="s">
        <v>52</v>
      </c>
      <c r="D85" s="589">
        <v>218093</v>
      </c>
      <c r="E85" s="589">
        <v>244769</v>
      </c>
      <c r="F85" s="589">
        <v>255357</v>
      </c>
      <c r="G85" s="589">
        <v>273606</v>
      </c>
      <c r="H85" s="589">
        <v>261732</v>
      </c>
      <c r="I85" s="589">
        <v>247532</v>
      </c>
      <c r="J85" s="589">
        <v>266278</v>
      </c>
      <c r="K85" s="589">
        <v>279253</v>
      </c>
      <c r="L85" s="589">
        <v>302888</v>
      </c>
      <c r="M85" s="589">
        <v>319524</v>
      </c>
      <c r="N85" s="589">
        <v>315553</v>
      </c>
      <c r="O85" s="589">
        <v>315819</v>
      </c>
      <c r="P85" s="589">
        <v>324960</v>
      </c>
      <c r="Q85" s="1096">
        <v>316227</v>
      </c>
      <c r="R85" s="589">
        <v>305802</v>
      </c>
      <c r="S85" s="589">
        <v>303655</v>
      </c>
      <c r="T85" s="537">
        <v>284789</v>
      </c>
      <c r="U85" s="1167">
        <f>SUM(U79:U84)</f>
        <v>282583</v>
      </c>
    </row>
    <row r="86" spans="1:26">
      <c r="A86" s="498"/>
      <c r="B86" s="579" t="s">
        <v>297</v>
      </c>
      <c r="C86" s="579" t="s">
        <v>127</v>
      </c>
      <c r="D86" s="583">
        <v>10125</v>
      </c>
      <c r="E86" s="583">
        <v>10425</v>
      </c>
      <c r="F86" s="583">
        <v>9726</v>
      </c>
      <c r="G86" s="583">
        <v>9327</v>
      </c>
      <c r="H86" s="583">
        <v>9678</v>
      </c>
      <c r="I86" s="583">
        <v>8296</v>
      </c>
      <c r="J86" s="583">
        <v>15811</v>
      </c>
      <c r="K86" s="583">
        <v>11084</v>
      </c>
      <c r="L86" s="583">
        <v>11550</v>
      </c>
      <c r="M86" s="583">
        <v>9655</v>
      </c>
      <c r="N86" s="583">
        <v>9231</v>
      </c>
      <c r="O86" s="583">
        <v>9963</v>
      </c>
      <c r="P86" s="583">
        <v>12114</v>
      </c>
      <c r="Q86" s="1291">
        <v>13145</v>
      </c>
      <c r="R86" s="583">
        <v>14649</v>
      </c>
      <c r="S86" s="583">
        <v>16321</v>
      </c>
      <c r="T86" s="584">
        <v>14756</v>
      </c>
      <c r="U86" s="1108">
        <v>14239</v>
      </c>
    </row>
    <row r="87" spans="1:26">
      <c r="A87" s="498"/>
      <c r="B87" s="499"/>
      <c r="C87" s="582" t="s">
        <v>51</v>
      </c>
      <c r="D87" s="587">
        <v>30</v>
      </c>
      <c r="E87" s="587">
        <v>40</v>
      </c>
      <c r="F87" s="587">
        <v>30</v>
      </c>
      <c r="G87" s="587">
        <v>39</v>
      </c>
      <c r="H87" s="587">
        <v>43</v>
      </c>
      <c r="I87" s="587">
        <v>62</v>
      </c>
      <c r="J87" s="587">
        <v>50</v>
      </c>
      <c r="K87" s="587">
        <v>46</v>
      </c>
      <c r="L87" s="587">
        <v>1126</v>
      </c>
      <c r="M87" s="587">
        <v>1177</v>
      </c>
      <c r="N87" s="587">
        <v>1206</v>
      </c>
      <c r="O87" s="587">
        <v>637</v>
      </c>
      <c r="P87" s="587">
        <v>679</v>
      </c>
      <c r="Q87" s="1293">
        <v>718</v>
      </c>
      <c r="R87" s="587">
        <v>900</v>
      </c>
      <c r="S87" s="587">
        <v>998</v>
      </c>
      <c r="T87" s="588">
        <v>828</v>
      </c>
      <c r="U87" s="1166">
        <v>304</v>
      </c>
    </row>
    <row r="88" spans="1:26">
      <c r="A88" s="498"/>
      <c r="B88" s="502"/>
      <c r="C88" s="502" t="s">
        <v>52</v>
      </c>
      <c r="D88" s="590">
        <v>10155</v>
      </c>
      <c r="E88" s="590">
        <v>10465</v>
      </c>
      <c r="F88" s="590">
        <v>9756</v>
      </c>
      <c r="G88" s="590">
        <v>9366</v>
      </c>
      <c r="H88" s="590">
        <v>9721</v>
      </c>
      <c r="I88" s="590">
        <v>8358</v>
      </c>
      <c r="J88" s="590">
        <v>15861</v>
      </c>
      <c r="K88" s="590">
        <v>11130</v>
      </c>
      <c r="L88" s="590">
        <v>11610</v>
      </c>
      <c r="M88" s="590">
        <v>10832</v>
      </c>
      <c r="N88" s="590">
        <v>10437</v>
      </c>
      <c r="O88" s="590">
        <v>10600</v>
      </c>
      <c r="P88" s="590">
        <v>12793</v>
      </c>
      <c r="Q88" s="1294">
        <v>13863</v>
      </c>
      <c r="R88" s="590">
        <v>15549</v>
      </c>
      <c r="S88" s="590">
        <v>17319</v>
      </c>
      <c r="T88" s="539">
        <v>15584</v>
      </c>
      <c r="U88" s="1167">
        <f>SUM(U86:U87)</f>
        <v>14543</v>
      </c>
    </row>
    <row r="89" spans="1:26">
      <c r="A89" s="498"/>
      <c r="B89" s="499" t="s">
        <v>314</v>
      </c>
      <c r="C89" s="499" t="s">
        <v>127</v>
      </c>
      <c r="D89" s="589">
        <v>26371</v>
      </c>
      <c r="E89" s="589">
        <v>26168</v>
      </c>
      <c r="F89" s="589">
        <v>27859</v>
      </c>
      <c r="G89" s="589">
        <v>32009</v>
      </c>
      <c r="H89" s="589">
        <v>30427</v>
      </c>
      <c r="I89" s="589">
        <v>27851</v>
      </c>
      <c r="J89" s="589">
        <v>26093</v>
      </c>
      <c r="K89" s="589">
        <v>25975</v>
      </c>
      <c r="L89" s="589">
        <v>26358</v>
      </c>
      <c r="M89" s="589">
        <v>27161</v>
      </c>
      <c r="N89" s="589">
        <v>30773</v>
      </c>
      <c r="O89" s="589">
        <v>36023</v>
      </c>
      <c r="P89" s="589">
        <v>31162</v>
      </c>
      <c r="Q89" s="1096">
        <v>32752</v>
      </c>
      <c r="R89" s="589">
        <v>32365</v>
      </c>
      <c r="S89" s="589">
        <v>33072</v>
      </c>
      <c r="T89" s="537">
        <v>32863</v>
      </c>
      <c r="U89" s="1264">
        <v>35300</v>
      </c>
    </row>
    <row r="90" spans="1:26">
      <c r="A90" s="498"/>
      <c r="B90" s="499" t="s">
        <v>315</v>
      </c>
      <c r="C90" s="580" t="s">
        <v>56</v>
      </c>
      <c r="D90" s="585">
        <v>14950</v>
      </c>
      <c r="E90" s="585">
        <v>15742</v>
      </c>
      <c r="F90" s="585">
        <v>17479</v>
      </c>
      <c r="G90" s="585">
        <v>18337</v>
      </c>
      <c r="H90" s="585">
        <v>17718</v>
      </c>
      <c r="I90" s="585">
        <v>15082</v>
      </c>
      <c r="J90" s="585">
        <v>15040</v>
      </c>
      <c r="K90" s="585">
        <v>14627</v>
      </c>
      <c r="L90" s="585">
        <v>13903</v>
      </c>
      <c r="M90" s="585">
        <v>13728</v>
      </c>
      <c r="N90" s="585">
        <v>15421</v>
      </c>
      <c r="O90" s="585">
        <v>16903</v>
      </c>
      <c r="P90" s="585">
        <v>14674</v>
      </c>
      <c r="Q90" s="1292">
        <v>14947</v>
      </c>
      <c r="R90" s="585">
        <v>14408</v>
      </c>
      <c r="S90" s="585">
        <v>14324</v>
      </c>
      <c r="T90" s="586">
        <v>14656</v>
      </c>
      <c r="U90" s="1166">
        <v>16154</v>
      </c>
      <c r="Z90" s="605"/>
    </row>
    <row r="91" spans="1:26">
      <c r="A91" s="498"/>
      <c r="B91" s="499"/>
      <c r="C91" s="580" t="s">
        <v>121</v>
      </c>
      <c r="D91" s="585">
        <v>7060</v>
      </c>
      <c r="E91" s="585">
        <v>7753</v>
      </c>
      <c r="F91" s="585">
        <v>8446</v>
      </c>
      <c r="G91" s="585">
        <v>10232</v>
      </c>
      <c r="H91" s="585">
        <v>10724</v>
      </c>
      <c r="I91" s="585">
        <v>9290</v>
      </c>
      <c r="J91" s="585">
        <v>9960</v>
      </c>
      <c r="K91" s="585">
        <v>10526</v>
      </c>
      <c r="L91" s="585">
        <v>9617</v>
      </c>
      <c r="M91" s="585">
        <v>11060</v>
      </c>
      <c r="N91" s="585">
        <v>12129</v>
      </c>
      <c r="O91" s="585">
        <v>12809</v>
      </c>
      <c r="P91" s="585">
        <v>11928</v>
      </c>
      <c r="Q91" s="1292">
        <v>11879</v>
      </c>
      <c r="R91" s="585">
        <v>11453</v>
      </c>
      <c r="S91" s="585">
        <v>11453</v>
      </c>
      <c r="T91" s="586">
        <v>11675</v>
      </c>
      <c r="U91" s="1166">
        <v>13844</v>
      </c>
    </row>
    <row r="92" spans="1:26">
      <c r="A92" s="498"/>
      <c r="B92" s="499"/>
      <c r="C92" s="580" t="s">
        <v>58</v>
      </c>
      <c r="D92" s="585">
        <v>9974</v>
      </c>
      <c r="E92" s="585">
        <v>11531</v>
      </c>
      <c r="F92" s="585">
        <v>14459</v>
      </c>
      <c r="G92" s="585">
        <v>14607</v>
      </c>
      <c r="H92" s="585">
        <v>17773</v>
      </c>
      <c r="I92" s="585">
        <v>15687</v>
      </c>
      <c r="J92" s="585">
        <v>17649</v>
      </c>
      <c r="K92" s="585">
        <v>17324</v>
      </c>
      <c r="L92" s="585">
        <v>17832</v>
      </c>
      <c r="M92" s="585">
        <v>18019</v>
      </c>
      <c r="N92" s="585">
        <v>21623</v>
      </c>
      <c r="O92" s="585">
        <v>24588</v>
      </c>
      <c r="P92" s="585">
        <v>21612</v>
      </c>
      <c r="Q92" s="1292">
        <v>23196</v>
      </c>
      <c r="R92" s="585">
        <v>23431</v>
      </c>
      <c r="S92" s="585">
        <v>24074</v>
      </c>
      <c r="T92" s="586">
        <v>23293</v>
      </c>
      <c r="U92" s="1166">
        <v>25517</v>
      </c>
    </row>
    <row r="93" spans="1:26">
      <c r="A93" s="498"/>
      <c r="B93" s="499"/>
      <c r="C93" s="580" t="s">
        <v>59</v>
      </c>
      <c r="D93" s="585">
        <v>4528</v>
      </c>
      <c r="E93" s="585">
        <v>5091</v>
      </c>
      <c r="F93" s="585">
        <v>5880</v>
      </c>
      <c r="G93" s="585">
        <v>7304</v>
      </c>
      <c r="H93" s="585">
        <v>8543</v>
      </c>
      <c r="I93" s="585">
        <v>11819</v>
      </c>
      <c r="J93" s="585">
        <v>14070</v>
      </c>
      <c r="K93" s="585">
        <v>16120</v>
      </c>
      <c r="L93" s="585">
        <v>18165</v>
      </c>
      <c r="M93" s="585">
        <v>22908</v>
      </c>
      <c r="N93" s="585">
        <v>24112</v>
      </c>
      <c r="O93" s="585">
        <v>28061</v>
      </c>
      <c r="P93" s="585">
        <v>30642</v>
      </c>
      <c r="Q93" s="1292">
        <v>33080</v>
      </c>
      <c r="R93" s="585">
        <v>34723</v>
      </c>
      <c r="S93" s="585">
        <v>36615</v>
      </c>
      <c r="T93" s="586">
        <v>36672</v>
      </c>
      <c r="U93" s="1166">
        <v>37439</v>
      </c>
    </row>
    <row r="94" spans="1:26">
      <c r="A94" s="498"/>
      <c r="B94" s="499"/>
      <c r="C94" s="582" t="s">
        <v>51</v>
      </c>
      <c r="D94" s="587">
        <v>26290</v>
      </c>
      <c r="E94" s="587">
        <v>39082</v>
      </c>
      <c r="F94" s="587">
        <v>49701</v>
      </c>
      <c r="G94" s="587">
        <v>44499</v>
      </c>
      <c r="H94" s="587">
        <v>44148</v>
      </c>
      <c r="I94" s="587">
        <v>29910</v>
      </c>
      <c r="J94" s="587">
        <v>50135</v>
      </c>
      <c r="K94" s="587">
        <v>59242</v>
      </c>
      <c r="L94" s="587">
        <v>60372</v>
      </c>
      <c r="M94" s="587">
        <v>64098</v>
      </c>
      <c r="N94" s="587">
        <v>65908</v>
      </c>
      <c r="O94" s="587">
        <v>72353</v>
      </c>
      <c r="P94" s="587">
        <v>64399</v>
      </c>
      <c r="Q94" s="1293">
        <v>67678</v>
      </c>
      <c r="R94" s="587">
        <v>66193</v>
      </c>
      <c r="S94" s="587">
        <v>69268</v>
      </c>
      <c r="T94" s="961">
        <v>65293</v>
      </c>
      <c r="U94" s="1173">
        <v>74827</v>
      </c>
    </row>
    <row r="95" spans="1:26">
      <c r="A95" s="498"/>
      <c r="B95" s="499"/>
      <c r="C95" s="499" t="s">
        <v>52</v>
      </c>
      <c r="D95" s="589">
        <v>89173</v>
      </c>
      <c r="E95" s="589">
        <v>105367</v>
      </c>
      <c r="F95" s="589">
        <v>123824</v>
      </c>
      <c r="G95" s="589">
        <v>126988</v>
      </c>
      <c r="H95" s="589">
        <v>129333</v>
      </c>
      <c r="I95" s="589">
        <v>109639</v>
      </c>
      <c r="J95" s="589">
        <v>132947</v>
      </c>
      <c r="K95" s="589">
        <v>143814</v>
      </c>
      <c r="L95" s="589">
        <v>146247</v>
      </c>
      <c r="M95" s="589">
        <v>156974</v>
      </c>
      <c r="N95" s="589">
        <v>169966</v>
      </c>
      <c r="O95" s="589">
        <v>190737</v>
      </c>
      <c r="P95" s="589">
        <v>174417</v>
      </c>
      <c r="Q95" s="1096">
        <v>183532</v>
      </c>
      <c r="R95" s="589">
        <v>182573</v>
      </c>
      <c r="S95" s="589">
        <v>188806</v>
      </c>
      <c r="T95" s="537">
        <v>184452</v>
      </c>
      <c r="U95" s="1167">
        <v>203081</v>
      </c>
    </row>
    <row r="96" spans="1:26">
      <c r="A96" s="501"/>
      <c r="B96" s="516" t="s">
        <v>52</v>
      </c>
      <c r="C96" s="516"/>
      <c r="D96" s="591">
        <v>317421</v>
      </c>
      <c r="E96" s="591">
        <v>360601</v>
      </c>
      <c r="F96" s="591">
        <v>388937</v>
      </c>
      <c r="G96" s="591">
        <v>409960</v>
      </c>
      <c r="H96" s="591">
        <v>400786</v>
      </c>
      <c r="I96" s="591">
        <v>365529</v>
      </c>
      <c r="J96" s="591">
        <v>415086</v>
      </c>
      <c r="K96" s="591">
        <v>434197</v>
      </c>
      <c r="L96" s="591">
        <v>460745</v>
      </c>
      <c r="M96" s="591">
        <v>487330</v>
      </c>
      <c r="N96" s="591">
        <v>495956</v>
      </c>
      <c r="O96" s="591">
        <v>517156</v>
      </c>
      <c r="P96" s="591">
        <v>512170</v>
      </c>
      <c r="Q96" s="1195">
        <v>513622</v>
      </c>
      <c r="R96" s="591">
        <v>503924</v>
      </c>
      <c r="S96" s="591">
        <v>509780</v>
      </c>
      <c r="T96" s="592">
        <v>484825</v>
      </c>
      <c r="U96" s="1168">
        <v>500207</v>
      </c>
    </row>
    <row r="97" spans="1:23">
      <c r="A97" s="498" t="s">
        <v>51</v>
      </c>
      <c r="B97" s="499" t="s">
        <v>296</v>
      </c>
      <c r="C97" s="499" t="s">
        <v>127</v>
      </c>
      <c r="D97" s="589">
        <v>3580</v>
      </c>
      <c r="E97" s="589">
        <v>4530</v>
      </c>
      <c r="F97" s="589">
        <v>4335</v>
      </c>
      <c r="G97" s="589">
        <v>3255</v>
      </c>
      <c r="H97" s="589">
        <v>2909</v>
      </c>
      <c r="I97" s="589">
        <v>2807</v>
      </c>
      <c r="J97" s="589">
        <v>2663</v>
      </c>
      <c r="K97" s="589">
        <v>2434</v>
      </c>
      <c r="L97" s="589">
        <v>2374</v>
      </c>
      <c r="M97" s="589">
        <v>2382</v>
      </c>
      <c r="N97" s="589">
        <v>2416</v>
      </c>
      <c r="O97" s="589">
        <v>12088</v>
      </c>
      <c r="P97" s="589">
        <v>2993</v>
      </c>
      <c r="Q97" s="1096">
        <v>2392</v>
      </c>
      <c r="R97" s="589">
        <v>3475</v>
      </c>
      <c r="S97" s="589">
        <v>3261</v>
      </c>
      <c r="T97" s="537">
        <v>3383</v>
      </c>
      <c r="U97" s="1108">
        <v>3117</v>
      </c>
    </row>
    <row r="98" spans="1:23">
      <c r="A98" s="498"/>
      <c r="B98" s="499"/>
      <c r="C98" s="580" t="s">
        <v>56</v>
      </c>
      <c r="D98" s="585">
        <v>2005</v>
      </c>
      <c r="E98" s="585">
        <v>2324</v>
      </c>
      <c r="F98" s="585">
        <v>2658</v>
      </c>
      <c r="G98" s="585">
        <v>2514</v>
      </c>
      <c r="H98" s="585">
        <v>2281</v>
      </c>
      <c r="I98" s="585">
        <v>2006</v>
      </c>
      <c r="J98" s="585">
        <v>2189</v>
      </c>
      <c r="K98" s="585">
        <v>2056</v>
      </c>
      <c r="L98" s="585">
        <v>2127</v>
      </c>
      <c r="M98" s="585">
        <v>2207</v>
      </c>
      <c r="N98" s="585">
        <v>2327</v>
      </c>
      <c r="O98" s="585">
        <v>2251</v>
      </c>
      <c r="P98" s="585">
        <v>2381</v>
      </c>
      <c r="Q98" s="1292">
        <v>2621</v>
      </c>
      <c r="R98" s="585">
        <v>2913</v>
      </c>
      <c r="S98" s="585">
        <v>2906</v>
      </c>
      <c r="T98" s="586">
        <v>2460</v>
      </c>
      <c r="U98" s="1166">
        <v>2698</v>
      </c>
    </row>
    <row r="99" spans="1:23">
      <c r="A99" s="498"/>
      <c r="B99" s="499"/>
      <c r="C99" s="580" t="s">
        <v>121</v>
      </c>
      <c r="D99" s="585">
        <v>534</v>
      </c>
      <c r="E99" s="585">
        <v>663</v>
      </c>
      <c r="F99" s="585">
        <v>880</v>
      </c>
      <c r="G99" s="585">
        <v>821</v>
      </c>
      <c r="H99" s="585">
        <v>769</v>
      </c>
      <c r="I99" s="585">
        <v>515</v>
      </c>
      <c r="J99" s="585">
        <v>781</v>
      </c>
      <c r="K99" s="585">
        <v>900</v>
      </c>
      <c r="L99" s="585">
        <v>961</v>
      </c>
      <c r="M99" s="585">
        <v>890</v>
      </c>
      <c r="N99" s="585">
        <v>1085</v>
      </c>
      <c r="O99" s="585">
        <v>1034</v>
      </c>
      <c r="P99" s="585">
        <v>855</v>
      </c>
      <c r="Q99" s="1292">
        <v>1009</v>
      </c>
      <c r="R99" s="585">
        <v>1259</v>
      </c>
      <c r="S99" s="585">
        <v>1284</v>
      </c>
      <c r="T99" s="586">
        <v>1407</v>
      </c>
      <c r="U99" s="1166">
        <v>1363</v>
      </c>
    </row>
    <row r="100" spans="1:23">
      <c r="A100" s="498"/>
      <c r="B100" s="499"/>
      <c r="C100" s="580" t="s">
        <v>58</v>
      </c>
      <c r="D100" s="585">
        <v>455</v>
      </c>
      <c r="E100" s="585">
        <v>635</v>
      </c>
      <c r="F100" s="585">
        <v>826</v>
      </c>
      <c r="G100" s="585">
        <v>986</v>
      </c>
      <c r="H100" s="585">
        <v>1223</v>
      </c>
      <c r="I100" s="585">
        <v>946</v>
      </c>
      <c r="J100" s="585">
        <v>1097</v>
      </c>
      <c r="K100" s="585">
        <v>1267</v>
      </c>
      <c r="L100" s="585">
        <v>1873</v>
      </c>
      <c r="M100" s="585">
        <v>1752</v>
      </c>
      <c r="N100" s="585">
        <v>2756</v>
      </c>
      <c r="O100" s="585">
        <v>4438</v>
      </c>
      <c r="P100" s="585">
        <v>4896</v>
      </c>
      <c r="Q100" s="1292">
        <v>4829</v>
      </c>
      <c r="R100" s="585">
        <v>6831</v>
      </c>
      <c r="S100" s="585">
        <v>7194</v>
      </c>
      <c r="T100" s="586">
        <v>5449</v>
      </c>
      <c r="U100" s="1166">
        <v>5323</v>
      </c>
    </row>
    <row r="101" spans="1:23">
      <c r="A101" s="498"/>
      <c r="B101" s="499"/>
      <c r="C101" s="580" t="s">
        <v>59</v>
      </c>
      <c r="D101" s="585">
        <v>31377</v>
      </c>
      <c r="E101" s="585">
        <v>33886</v>
      </c>
      <c r="F101" s="585">
        <v>38756</v>
      </c>
      <c r="G101" s="585">
        <v>40086</v>
      </c>
      <c r="H101" s="585">
        <v>40101</v>
      </c>
      <c r="I101" s="585">
        <v>39836</v>
      </c>
      <c r="J101" s="585">
        <v>43719</v>
      </c>
      <c r="K101" s="585">
        <v>44579</v>
      </c>
      <c r="L101" s="585">
        <v>48294</v>
      </c>
      <c r="M101" s="585">
        <v>51049</v>
      </c>
      <c r="N101" s="585">
        <v>49762</v>
      </c>
      <c r="O101" s="585">
        <v>50357</v>
      </c>
      <c r="P101" s="585">
        <v>50974</v>
      </c>
      <c r="Q101" s="1292">
        <v>51365</v>
      </c>
      <c r="R101" s="585">
        <v>51392</v>
      </c>
      <c r="S101" s="585">
        <v>67695</v>
      </c>
      <c r="T101" s="586">
        <v>65998</v>
      </c>
      <c r="U101" s="1166">
        <v>63000</v>
      </c>
    </row>
    <row r="102" spans="1:23">
      <c r="A102" s="498"/>
      <c r="B102" s="499"/>
      <c r="C102" s="582" t="s">
        <v>51</v>
      </c>
      <c r="D102" s="587">
        <v>65802</v>
      </c>
      <c r="E102" s="587">
        <v>60758</v>
      </c>
      <c r="F102" s="587">
        <v>67018</v>
      </c>
      <c r="G102" s="587">
        <v>54347</v>
      </c>
      <c r="H102" s="587">
        <v>108544</v>
      </c>
      <c r="I102" s="587">
        <v>90607</v>
      </c>
      <c r="J102" s="587">
        <v>75585</v>
      </c>
      <c r="K102" s="587">
        <v>71808</v>
      </c>
      <c r="L102" s="587">
        <v>80343</v>
      </c>
      <c r="M102" s="587">
        <v>88645</v>
      </c>
      <c r="N102" s="587">
        <v>84315</v>
      </c>
      <c r="O102" s="587">
        <v>88691</v>
      </c>
      <c r="P102" s="587">
        <v>91795</v>
      </c>
      <c r="Q102" s="1293">
        <v>89036</v>
      </c>
      <c r="R102" s="587">
        <v>90429</v>
      </c>
      <c r="S102" s="587">
        <v>90090</v>
      </c>
      <c r="T102" s="588">
        <v>100585</v>
      </c>
      <c r="U102" s="1173">
        <v>89820</v>
      </c>
    </row>
    <row r="103" spans="1:23">
      <c r="A103" s="498"/>
      <c r="B103" s="499"/>
      <c r="C103" s="499" t="s">
        <v>52</v>
      </c>
      <c r="D103" s="589">
        <v>103753</v>
      </c>
      <c r="E103" s="589">
        <v>102796</v>
      </c>
      <c r="F103" s="589">
        <v>114473</v>
      </c>
      <c r="G103" s="589">
        <v>102009</v>
      </c>
      <c r="H103" s="589">
        <v>155827</v>
      </c>
      <c r="I103" s="589">
        <v>136717</v>
      </c>
      <c r="J103" s="589">
        <v>126034</v>
      </c>
      <c r="K103" s="589">
        <v>123044</v>
      </c>
      <c r="L103" s="589">
        <v>135972</v>
      </c>
      <c r="M103" s="589">
        <v>146925</v>
      </c>
      <c r="N103" s="589">
        <v>142661</v>
      </c>
      <c r="O103" s="589">
        <v>158859</v>
      </c>
      <c r="P103" s="589">
        <v>153894</v>
      </c>
      <c r="Q103" s="1096">
        <v>151252</v>
      </c>
      <c r="R103" s="589">
        <v>156299</v>
      </c>
      <c r="S103" s="589">
        <v>172430</v>
      </c>
      <c r="T103" s="537">
        <v>179282</v>
      </c>
      <c r="U103" s="1175">
        <f>SUM(U97:U102)</f>
        <v>165321</v>
      </c>
    </row>
    <row r="104" spans="1:23">
      <c r="A104" s="498"/>
      <c r="B104" s="579" t="s">
        <v>297</v>
      </c>
      <c r="C104" s="579" t="s">
        <v>127</v>
      </c>
      <c r="D104" s="583">
        <v>1830</v>
      </c>
      <c r="E104" s="583">
        <v>2081</v>
      </c>
      <c r="F104" s="583">
        <v>2382</v>
      </c>
      <c r="G104" s="583">
        <v>2555</v>
      </c>
      <c r="H104" s="583">
        <v>2609</v>
      </c>
      <c r="I104" s="583">
        <v>2627</v>
      </c>
      <c r="J104" s="583">
        <v>3896</v>
      </c>
      <c r="K104" s="583">
        <v>3316</v>
      </c>
      <c r="L104" s="583">
        <v>3446</v>
      </c>
      <c r="M104" s="583">
        <v>2867</v>
      </c>
      <c r="N104" s="583">
        <v>2424</v>
      </c>
      <c r="O104" s="583">
        <v>2670</v>
      </c>
      <c r="P104" s="583">
        <v>3145</v>
      </c>
      <c r="Q104" s="1291">
        <v>3463</v>
      </c>
      <c r="R104" s="583">
        <v>4116</v>
      </c>
      <c r="S104" s="583">
        <v>4043</v>
      </c>
      <c r="T104" s="584">
        <v>3913</v>
      </c>
      <c r="U104" s="1108">
        <v>4169</v>
      </c>
    </row>
    <row r="105" spans="1:23">
      <c r="A105" s="498"/>
      <c r="B105" s="499"/>
      <c r="C105" s="582" t="s">
        <v>51</v>
      </c>
      <c r="D105" s="587">
        <v>215</v>
      </c>
      <c r="E105" s="587">
        <v>244</v>
      </c>
      <c r="F105" s="587">
        <v>249</v>
      </c>
      <c r="G105" s="587">
        <v>332</v>
      </c>
      <c r="H105" s="587">
        <v>345</v>
      </c>
      <c r="I105" s="587">
        <v>360</v>
      </c>
      <c r="J105" s="587">
        <v>389</v>
      </c>
      <c r="K105" s="587">
        <v>485</v>
      </c>
      <c r="L105" s="587">
        <v>2178</v>
      </c>
      <c r="M105" s="587">
        <v>945</v>
      </c>
      <c r="N105" s="587">
        <v>1031</v>
      </c>
      <c r="O105" s="587">
        <v>974</v>
      </c>
      <c r="P105" s="587">
        <v>999</v>
      </c>
      <c r="Q105" s="1293">
        <v>1106</v>
      </c>
      <c r="R105" s="587">
        <v>1508</v>
      </c>
      <c r="S105" s="587">
        <v>1437</v>
      </c>
      <c r="T105" s="588">
        <v>1683</v>
      </c>
      <c r="U105" s="1166">
        <v>891</v>
      </c>
    </row>
    <row r="106" spans="1:23">
      <c r="A106" s="498"/>
      <c r="B106" s="502"/>
      <c r="C106" s="502" t="s">
        <v>52</v>
      </c>
      <c r="D106" s="590">
        <v>2045</v>
      </c>
      <c r="E106" s="590">
        <v>2325</v>
      </c>
      <c r="F106" s="590">
        <v>2631</v>
      </c>
      <c r="G106" s="590">
        <v>2887</v>
      </c>
      <c r="H106" s="590">
        <v>2954</v>
      </c>
      <c r="I106" s="590">
        <v>2987</v>
      </c>
      <c r="J106" s="590">
        <v>4285</v>
      </c>
      <c r="K106" s="590">
        <v>3801</v>
      </c>
      <c r="L106" s="590">
        <v>4645</v>
      </c>
      <c r="M106" s="590">
        <v>3812</v>
      </c>
      <c r="N106" s="590">
        <v>3455</v>
      </c>
      <c r="O106" s="590">
        <v>3644</v>
      </c>
      <c r="P106" s="590">
        <v>4144</v>
      </c>
      <c r="Q106" s="1294">
        <v>4569</v>
      </c>
      <c r="R106" s="590">
        <v>5624</v>
      </c>
      <c r="S106" s="590">
        <v>5480</v>
      </c>
      <c r="T106" s="539">
        <v>5596</v>
      </c>
      <c r="U106" s="1167">
        <v>5060</v>
      </c>
    </row>
    <row r="107" spans="1:23">
      <c r="A107" s="498"/>
      <c r="B107" s="499" t="s">
        <v>314</v>
      </c>
      <c r="C107" s="499" t="s">
        <v>127</v>
      </c>
      <c r="D107" s="589">
        <v>8626</v>
      </c>
      <c r="E107" s="589">
        <v>9000</v>
      </c>
      <c r="F107" s="589">
        <v>9744</v>
      </c>
      <c r="G107" s="589">
        <v>6108</v>
      </c>
      <c r="H107" s="589">
        <v>5816</v>
      </c>
      <c r="I107" s="589">
        <v>5464</v>
      </c>
      <c r="J107" s="589">
        <v>5072</v>
      </c>
      <c r="K107" s="589">
        <v>5110</v>
      </c>
      <c r="L107" s="589">
        <v>5299</v>
      </c>
      <c r="M107" s="589">
        <v>5452</v>
      </c>
      <c r="N107" s="589">
        <v>5679</v>
      </c>
      <c r="O107" s="589">
        <v>5587</v>
      </c>
      <c r="P107" s="589">
        <v>5650</v>
      </c>
      <c r="Q107" s="1096">
        <v>5750</v>
      </c>
      <c r="R107" s="589">
        <v>6236</v>
      </c>
      <c r="S107" s="589">
        <v>6657</v>
      </c>
      <c r="T107" s="537">
        <v>6718</v>
      </c>
      <c r="U107" s="1172">
        <v>7128</v>
      </c>
    </row>
    <row r="108" spans="1:23">
      <c r="A108" s="498"/>
      <c r="B108" s="499" t="s">
        <v>315</v>
      </c>
      <c r="C108" s="580" t="s">
        <v>56</v>
      </c>
      <c r="D108" s="585">
        <v>1991</v>
      </c>
      <c r="E108" s="585">
        <v>2040</v>
      </c>
      <c r="F108" s="585">
        <v>2315</v>
      </c>
      <c r="G108" s="585">
        <v>2425</v>
      </c>
      <c r="H108" s="585">
        <v>2341</v>
      </c>
      <c r="I108" s="585">
        <v>1984</v>
      </c>
      <c r="J108" s="585">
        <v>2088</v>
      </c>
      <c r="K108" s="585">
        <v>2129</v>
      </c>
      <c r="L108" s="585">
        <v>2105</v>
      </c>
      <c r="M108" s="585">
        <v>2215</v>
      </c>
      <c r="N108" s="585">
        <v>2342</v>
      </c>
      <c r="O108" s="585">
        <v>2284</v>
      </c>
      <c r="P108" s="585">
        <v>2183</v>
      </c>
      <c r="Q108" s="1292">
        <v>2153</v>
      </c>
      <c r="R108" s="585">
        <v>2624</v>
      </c>
      <c r="S108" s="585">
        <v>2849</v>
      </c>
      <c r="T108" s="586">
        <v>2654</v>
      </c>
      <c r="U108" s="1166">
        <v>2822</v>
      </c>
      <c r="W108" s="958"/>
    </row>
    <row r="109" spans="1:23">
      <c r="A109" s="498"/>
      <c r="B109" s="499"/>
      <c r="C109" s="580" t="s">
        <v>121</v>
      </c>
      <c r="D109" s="585">
        <v>939</v>
      </c>
      <c r="E109" s="585">
        <v>870</v>
      </c>
      <c r="F109" s="585">
        <v>980</v>
      </c>
      <c r="G109" s="585">
        <v>1282</v>
      </c>
      <c r="H109" s="585">
        <v>1295</v>
      </c>
      <c r="I109" s="585">
        <v>1098</v>
      </c>
      <c r="J109" s="585">
        <v>1285</v>
      </c>
      <c r="K109" s="585">
        <v>1296</v>
      </c>
      <c r="L109" s="585">
        <v>1292</v>
      </c>
      <c r="M109" s="585">
        <v>1546</v>
      </c>
      <c r="N109" s="585">
        <v>1628</v>
      </c>
      <c r="O109" s="585">
        <v>1473</v>
      </c>
      <c r="P109" s="585">
        <v>1455</v>
      </c>
      <c r="Q109" s="1292">
        <v>1483</v>
      </c>
      <c r="R109" s="585">
        <v>1700</v>
      </c>
      <c r="S109" s="585">
        <v>2022</v>
      </c>
      <c r="T109" s="586">
        <v>1791</v>
      </c>
      <c r="U109" s="1166">
        <v>1964</v>
      </c>
      <c r="W109" s="958"/>
    </row>
    <row r="110" spans="1:23">
      <c r="A110" s="498"/>
      <c r="B110" s="499"/>
      <c r="C110" s="580" t="s">
        <v>58</v>
      </c>
      <c r="D110" s="585">
        <v>1852</v>
      </c>
      <c r="E110" s="585">
        <v>1822</v>
      </c>
      <c r="F110" s="585">
        <v>2212</v>
      </c>
      <c r="G110" s="585">
        <v>2236</v>
      </c>
      <c r="H110" s="585">
        <v>2372</v>
      </c>
      <c r="I110" s="585">
        <v>2292</v>
      </c>
      <c r="J110" s="585">
        <v>2835</v>
      </c>
      <c r="K110" s="585">
        <v>3300</v>
      </c>
      <c r="L110" s="585">
        <v>2998</v>
      </c>
      <c r="M110" s="585">
        <v>3110</v>
      </c>
      <c r="N110" s="585">
        <v>3341</v>
      </c>
      <c r="O110" s="585">
        <v>3320</v>
      </c>
      <c r="P110" s="585">
        <v>3293</v>
      </c>
      <c r="Q110" s="1292">
        <v>3170</v>
      </c>
      <c r="R110" s="585">
        <v>3528</v>
      </c>
      <c r="S110" s="585">
        <v>3807</v>
      </c>
      <c r="T110" s="586">
        <v>3905</v>
      </c>
      <c r="U110" s="1166">
        <v>4181</v>
      </c>
      <c r="W110" s="958"/>
    </row>
    <row r="111" spans="1:23">
      <c r="A111" s="498"/>
      <c r="B111" s="499"/>
      <c r="C111" s="580" t="s">
        <v>59</v>
      </c>
      <c r="D111" s="585">
        <v>2993</v>
      </c>
      <c r="E111" s="585">
        <v>3068</v>
      </c>
      <c r="F111" s="585">
        <v>3572</v>
      </c>
      <c r="G111" s="585">
        <v>4315</v>
      </c>
      <c r="H111" s="585">
        <v>5203</v>
      </c>
      <c r="I111" s="585">
        <v>6330</v>
      </c>
      <c r="J111" s="585">
        <v>7487</v>
      </c>
      <c r="K111" s="585">
        <v>7921</v>
      </c>
      <c r="L111" s="585">
        <v>9104</v>
      </c>
      <c r="M111" s="585">
        <v>10269</v>
      </c>
      <c r="N111" s="585">
        <v>10790</v>
      </c>
      <c r="O111" s="585">
        <v>11565</v>
      </c>
      <c r="P111" s="585">
        <v>12613</v>
      </c>
      <c r="Q111" s="1292">
        <v>13340</v>
      </c>
      <c r="R111" s="585">
        <v>13057</v>
      </c>
      <c r="S111" s="585">
        <v>14039</v>
      </c>
      <c r="T111" s="586">
        <v>13681</v>
      </c>
      <c r="U111" s="1166">
        <v>18001</v>
      </c>
      <c r="W111" s="958"/>
    </row>
    <row r="112" spans="1:23">
      <c r="A112" s="498"/>
      <c r="B112" s="499"/>
      <c r="C112" s="582" t="s">
        <v>51</v>
      </c>
      <c r="D112" s="587">
        <v>30177</v>
      </c>
      <c r="E112" s="587">
        <v>19684</v>
      </c>
      <c r="F112" s="587">
        <v>24467</v>
      </c>
      <c r="G112" s="587">
        <v>12338</v>
      </c>
      <c r="H112" s="587">
        <v>12696</v>
      </c>
      <c r="I112" s="587">
        <v>13686</v>
      </c>
      <c r="J112" s="587">
        <v>14027</v>
      </c>
      <c r="K112" s="587">
        <v>21836</v>
      </c>
      <c r="L112" s="587">
        <v>18158</v>
      </c>
      <c r="M112" s="587">
        <v>21715</v>
      </c>
      <c r="N112" s="587">
        <v>22149</v>
      </c>
      <c r="O112" s="587">
        <v>18376</v>
      </c>
      <c r="P112" s="587">
        <v>19304</v>
      </c>
      <c r="Q112" s="1293">
        <v>18169</v>
      </c>
      <c r="R112" s="587">
        <v>21889</v>
      </c>
      <c r="S112" s="587">
        <v>21951</v>
      </c>
      <c r="T112" s="961">
        <v>24071</v>
      </c>
      <c r="U112" s="1173">
        <v>22640</v>
      </c>
      <c r="W112" s="958"/>
    </row>
    <row r="113" spans="1:24">
      <c r="A113" s="498"/>
      <c r="B113" s="499"/>
      <c r="C113" s="499" t="s">
        <v>52</v>
      </c>
      <c r="D113" s="589">
        <v>46578</v>
      </c>
      <c r="E113" s="589">
        <v>36484</v>
      </c>
      <c r="F113" s="589">
        <v>43290</v>
      </c>
      <c r="G113" s="589">
        <v>28704</v>
      </c>
      <c r="H113" s="589">
        <v>29723</v>
      </c>
      <c r="I113" s="589">
        <v>30854</v>
      </c>
      <c r="J113" s="589">
        <v>32794</v>
      </c>
      <c r="K113" s="589">
        <v>41592</v>
      </c>
      <c r="L113" s="589">
        <v>38956</v>
      </c>
      <c r="M113" s="589">
        <v>44307</v>
      </c>
      <c r="N113" s="589">
        <v>45929</v>
      </c>
      <c r="O113" s="589">
        <v>42605</v>
      </c>
      <c r="P113" s="589">
        <v>44498</v>
      </c>
      <c r="Q113" s="1096">
        <v>44065</v>
      </c>
      <c r="R113" s="589">
        <v>49034</v>
      </c>
      <c r="S113" s="589">
        <v>51325</v>
      </c>
      <c r="T113" s="537">
        <v>52820</v>
      </c>
      <c r="U113" s="1167">
        <v>56736</v>
      </c>
      <c r="W113" s="605"/>
      <c r="X113" s="605"/>
    </row>
    <row r="114" spans="1:24">
      <c r="A114" s="501"/>
      <c r="B114" s="516" t="s">
        <v>52</v>
      </c>
      <c r="C114" s="516"/>
      <c r="D114" s="591">
        <v>152376</v>
      </c>
      <c r="E114" s="591">
        <v>141605</v>
      </c>
      <c r="F114" s="591">
        <v>160394</v>
      </c>
      <c r="G114" s="591">
        <v>133600</v>
      </c>
      <c r="H114" s="591">
        <v>188504</v>
      </c>
      <c r="I114" s="591">
        <v>170558</v>
      </c>
      <c r="J114" s="591">
        <v>163113</v>
      </c>
      <c r="K114" s="591">
        <v>168437</v>
      </c>
      <c r="L114" s="591">
        <v>179573</v>
      </c>
      <c r="M114" s="591">
        <v>195044</v>
      </c>
      <c r="N114" s="591">
        <v>192045</v>
      </c>
      <c r="O114" s="591">
        <v>205108</v>
      </c>
      <c r="P114" s="591">
        <v>202536</v>
      </c>
      <c r="Q114" s="1195">
        <v>199886</v>
      </c>
      <c r="R114" s="591">
        <v>210957</v>
      </c>
      <c r="S114" s="591">
        <v>229235</v>
      </c>
      <c r="T114" s="592">
        <v>237698</v>
      </c>
      <c r="U114" s="1186">
        <f>U113+U106+U103</f>
        <v>227117</v>
      </c>
    </row>
    <row r="117" spans="1:24">
      <c r="B117" s="497" t="s">
        <v>300</v>
      </c>
      <c r="C117" s="514"/>
      <c r="D117" s="534">
        <v>2004</v>
      </c>
      <c r="E117" s="534">
        <v>2005</v>
      </c>
      <c r="F117" s="534">
        <v>2006</v>
      </c>
      <c r="G117" s="534">
        <v>2007</v>
      </c>
      <c r="H117" s="534">
        <v>2008</v>
      </c>
      <c r="I117" s="534">
        <v>2009</v>
      </c>
      <c r="J117" s="534">
        <v>2010</v>
      </c>
      <c r="K117" s="534">
        <v>2011</v>
      </c>
      <c r="L117" s="534">
        <v>2012</v>
      </c>
      <c r="M117" s="534">
        <v>2013</v>
      </c>
      <c r="N117" s="534">
        <v>2014</v>
      </c>
      <c r="O117" s="534">
        <v>2015</v>
      </c>
      <c r="P117" s="534">
        <v>2016</v>
      </c>
      <c r="Q117" s="759">
        <v>2017</v>
      </c>
      <c r="R117" s="534">
        <v>2018</v>
      </c>
      <c r="S117" s="534">
        <v>2019</v>
      </c>
      <c r="T117" s="534">
        <v>2020</v>
      </c>
      <c r="U117" s="1187">
        <v>2021</v>
      </c>
    </row>
    <row r="118" spans="1:24">
      <c r="B118" s="593" t="s">
        <v>296</v>
      </c>
      <c r="C118" s="594"/>
      <c r="D118" s="600">
        <f>D13+D31+D49+D67+D85+D103</f>
        <v>1149981</v>
      </c>
      <c r="E118" s="600">
        <f t="shared" ref="E118:T118" si="0">E13+E31+E49+E67+E85+E103</f>
        <v>1237028</v>
      </c>
      <c r="F118" s="600">
        <f t="shared" si="0"/>
        <v>1282384</v>
      </c>
      <c r="G118" s="600">
        <f t="shared" si="0"/>
        <v>1307377</v>
      </c>
      <c r="H118" s="600">
        <f t="shared" si="0"/>
        <v>1382985</v>
      </c>
      <c r="I118" s="600">
        <f t="shared" si="0"/>
        <v>1331777</v>
      </c>
      <c r="J118" s="600">
        <f t="shared" si="0"/>
        <v>1389232</v>
      </c>
      <c r="K118" s="600">
        <f t="shared" si="0"/>
        <v>1555711</v>
      </c>
      <c r="L118" s="600">
        <f t="shared" si="0"/>
        <v>1728578</v>
      </c>
      <c r="M118" s="600">
        <f t="shared" si="0"/>
        <v>1921441</v>
      </c>
      <c r="N118" s="600">
        <f t="shared" si="0"/>
        <v>2008933</v>
      </c>
      <c r="O118" s="600">
        <f t="shared" si="0"/>
        <v>2188932</v>
      </c>
      <c r="P118" s="600">
        <f t="shared" si="0"/>
        <v>2436257</v>
      </c>
      <c r="Q118" s="1295">
        <f t="shared" si="0"/>
        <v>2456411</v>
      </c>
      <c r="R118" s="600">
        <f t="shared" si="0"/>
        <v>2600036</v>
      </c>
      <c r="S118" s="600">
        <f t="shared" si="0"/>
        <v>2465543</v>
      </c>
      <c r="T118" s="600">
        <f t="shared" si="0"/>
        <v>2538782</v>
      </c>
      <c r="U118" s="1108">
        <v>2598438</v>
      </c>
    </row>
    <row r="119" spans="1:24">
      <c r="B119" s="595" t="s">
        <v>297</v>
      </c>
      <c r="C119" s="596"/>
      <c r="D119" s="601">
        <f>D16+D34+D52+D70+D88+D106</f>
        <v>58784</v>
      </c>
      <c r="E119" s="601">
        <f t="shared" ref="E119:U119" si="1">E16+E34+E52+E70+E88+E106</f>
        <v>61203</v>
      </c>
      <c r="F119" s="601">
        <f t="shared" si="1"/>
        <v>61434</v>
      </c>
      <c r="G119" s="601">
        <f t="shared" si="1"/>
        <v>62606</v>
      </c>
      <c r="H119" s="601">
        <f t="shared" si="1"/>
        <v>63095</v>
      </c>
      <c r="I119" s="601">
        <f t="shared" si="1"/>
        <v>56448</v>
      </c>
      <c r="J119" s="601">
        <f t="shared" si="1"/>
        <v>71945</v>
      </c>
      <c r="K119" s="601">
        <f t="shared" si="1"/>
        <v>63183</v>
      </c>
      <c r="L119" s="601">
        <f t="shared" si="1"/>
        <v>64539</v>
      </c>
      <c r="M119" s="601">
        <f t="shared" si="1"/>
        <v>64431</v>
      </c>
      <c r="N119" s="601">
        <f t="shared" si="1"/>
        <v>63733</v>
      </c>
      <c r="O119" s="601">
        <f t="shared" si="1"/>
        <v>64548</v>
      </c>
      <c r="P119" s="601">
        <f t="shared" si="1"/>
        <v>67559</v>
      </c>
      <c r="Q119" s="1296">
        <f t="shared" si="1"/>
        <v>70944</v>
      </c>
      <c r="R119" s="601">
        <f t="shared" si="1"/>
        <v>75478</v>
      </c>
      <c r="S119" s="601">
        <f t="shared" si="1"/>
        <v>79019</v>
      </c>
      <c r="T119" s="601">
        <f t="shared" si="1"/>
        <v>76930</v>
      </c>
      <c r="U119" s="601">
        <f t="shared" si="1"/>
        <v>75129</v>
      </c>
    </row>
    <row r="120" spans="1:24">
      <c r="B120" s="597" t="s">
        <v>311</v>
      </c>
      <c r="C120" s="598"/>
      <c r="D120" s="602">
        <f>D23+D41+D59+D77+D95+D113</f>
        <v>298692</v>
      </c>
      <c r="E120" s="602">
        <f t="shared" ref="E120:U120" si="2">E23+E41+E59+E77+E95+E113</f>
        <v>329144</v>
      </c>
      <c r="F120" s="602">
        <f t="shared" si="2"/>
        <v>381797</v>
      </c>
      <c r="G120" s="602">
        <f t="shared" si="2"/>
        <v>380848</v>
      </c>
      <c r="H120" s="602">
        <f t="shared" si="2"/>
        <v>401499</v>
      </c>
      <c r="I120" s="602">
        <f t="shared" si="2"/>
        <v>374289</v>
      </c>
      <c r="J120" s="602">
        <f t="shared" si="2"/>
        <v>446420</v>
      </c>
      <c r="K120" s="602">
        <f t="shared" si="2"/>
        <v>499808</v>
      </c>
      <c r="L120" s="602">
        <f t="shared" si="2"/>
        <v>530108</v>
      </c>
      <c r="M120" s="602">
        <f t="shared" si="2"/>
        <v>564089</v>
      </c>
      <c r="N120" s="602">
        <f t="shared" si="2"/>
        <v>593193</v>
      </c>
      <c r="O120" s="602">
        <f t="shared" si="2"/>
        <v>608577</v>
      </c>
      <c r="P120" s="602">
        <f t="shared" si="2"/>
        <v>608409</v>
      </c>
      <c r="Q120" s="1297">
        <f>Q23+Q41+Q59+Q77+Q95+Q113</f>
        <v>628681</v>
      </c>
      <c r="R120" s="602">
        <f t="shared" si="2"/>
        <v>646602</v>
      </c>
      <c r="S120" s="602">
        <f t="shared" si="2"/>
        <v>673938</v>
      </c>
      <c r="T120" s="602">
        <f t="shared" si="2"/>
        <v>663044</v>
      </c>
      <c r="U120" s="602">
        <f t="shared" si="2"/>
        <v>713364</v>
      </c>
    </row>
    <row r="121" spans="1:24">
      <c r="B121" s="501" t="s">
        <v>52</v>
      </c>
      <c r="C121" s="510"/>
      <c r="D121" s="538">
        <f>SUM(D118:D120)</f>
        <v>1507457</v>
      </c>
      <c r="E121" s="538">
        <f t="shared" ref="E121:T121" si="3">SUM(E118:E120)</f>
        <v>1627375</v>
      </c>
      <c r="F121" s="538">
        <f t="shared" si="3"/>
        <v>1725615</v>
      </c>
      <c r="G121" s="538">
        <f t="shared" si="3"/>
        <v>1750831</v>
      </c>
      <c r="H121" s="538">
        <f t="shared" si="3"/>
        <v>1847579</v>
      </c>
      <c r="I121" s="538">
        <f t="shared" si="3"/>
        <v>1762514</v>
      </c>
      <c r="J121" s="538">
        <f t="shared" si="3"/>
        <v>1907597</v>
      </c>
      <c r="K121" s="538">
        <f t="shared" si="3"/>
        <v>2118702</v>
      </c>
      <c r="L121" s="538">
        <f t="shared" si="3"/>
        <v>2323225</v>
      </c>
      <c r="M121" s="538">
        <f t="shared" si="3"/>
        <v>2549961</v>
      </c>
      <c r="N121" s="538">
        <f t="shared" si="3"/>
        <v>2665859</v>
      </c>
      <c r="O121" s="538">
        <f t="shared" si="3"/>
        <v>2862057</v>
      </c>
      <c r="P121" s="538">
        <f t="shared" si="3"/>
        <v>3112225</v>
      </c>
      <c r="Q121" s="1298">
        <f t="shared" si="3"/>
        <v>3156036</v>
      </c>
      <c r="R121" s="538">
        <f t="shared" si="3"/>
        <v>3322116</v>
      </c>
      <c r="S121" s="538">
        <f t="shared" si="3"/>
        <v>3218500</v>
      </c>
      <c r="T121" s="538">
        <f t="shared" si="3"/>
        <v>3278756</v>
      </c>
      <c r="U121" s="1168">
        <f>SUM(U118:U120)</f>
        <v>3386931</v>
      </c>
    </row>
    <row r="122" spans="1:24">
      <c r="U122" s="1086"/>
    </row>
    <row r="123" spans="1:24">
      <c r="B123" s="515" t="s">
        <v>53</v>
      </c>
      <c r="C123" s="517"/>
      <c r="D123" s="524">
        <v>2004</v>
      </c>
      <c r="E123" s="524">
        <v>2005</v>
      </c>
      <c r="F123" s="524">
        <v>2006</v>
      </c>
      <c r="G123" s="524">
        <v>2007</v>
      </c>
      <c r="H123" s="524">
        <v>2008</v>
      </c>
      <c r="I123" s="524">
        <v>2009</v>
      </c>
      <c r="J123" s="524">
        <v>2010</v>
      </c>
      <c r="K123" s="524">
        <v>2011</v>
      </c>
      <c r="L123" s="524">
        <v>2012</v>
      </c>
      <c r="M123" s="524">
        <v>2013</v>
      </c>
      <c r="N123" s="524">
        <v>2014</v>
      </c>
      <c r="O123" s="524">
        <v>2015</v>
      </c>
      <c r="P123" s="524">
        <v>2016</v>
      </c>
      <c r="Q123" s="1299">
        <v>2017</v>
      </c>
      <c r="R123" s="524">
        <v>2018</v>
      </c>
      <c r="S123" s="524">
        <v>2019</v>
      </c>
      <c r="T123" s="524">
        <v>2020</v>
      </c>
      <c r="U123" s="1187">
        <v>2021</v>
      </c>
    </row>
    <row r="124" spans="1:24">
      <c r="B124" s="497" t="s">
        <v>127</v>
      </c>
      <c r="C124" s="514"/>
      <c r="D124" s="603">
        <f>D24</f>
        <v>326033</v>
      </c>
      <c r="E124" s="603">
        <f t="shared" ref="E124:U124" si="4">E24</f>
        <v>342289</v>
      </c>
      <c r="F124" s="603">
        <f t="shared" si="4"/>
        <v>362223</v>
      </c>
      <c r="G124" s="603">
        <f t="shared" si="4"/>
        <v>370570</v>
      </c>
      <c r="H124" s="603">
        <f t="shared" si="4"/>
        <v>380373</v>
      </c>
      <c r="I124" s="603">
        <f t="shared" si="4"/>
        <v>360205</v>
      </c>
      <c r="J124" s="603">
        <f t="shared" si="4"/>
        <v>382555</v>
      </c>
      <c r="K124" s="603">
        <f t="shared" si="4"/>
        <v>419018</v>
      </c>
      <c r="L124" s="603">
        <f t="shared" si="4"/>
        <v>431246</v>
      </c>
      <c r="M124" s="603">
        <f t="shared" si="4"/>
        <v>440360</v>
      </c>
      <c r="N124" s="603">
        <f t="shared" si="4"/>
        <v>447123</v>
      </c>
      <c r="O124" s="603">
        <f t="shared" si="4"/>
        <v>438997</v>
      </c>
      <c r="P124" s="603">
        <f t="shared" si="4"/>
        <v>452359</v>
      </c>
      <c r="Q124" s="1300">
        <f t="shared" si="4"/>
        <v>451930</v>
      </c>
      <c r="R124" s="603">
        <f t="shared" si="4"/>
        <v>457344</v>
      </c>
      <c r="S124" s="603">
        <f t="shared" si="4"/>
        <v>451890</v>
      </c>
      <c r="T124" s="603">
        <f t="shared" si="4"/>
        <v>434405</v>
      </c>
      <c r="U124" s="603">
        <f t="shared" si="4"/>
        <v>443075</v>
      </c>
    </row>
    <row r="125" spans="1:24">
      <c r="B125" s="599" t="s">
        <v>56</v>
      </c>
      <c r="C125" s="581"/>
      <c r="D125" s="548">
        <f>D42</f>
        <v>506567</v>
      </c>
      <c r="E125" s="548">
        <f t="shared" ref="E125:U125" si="5">E42</f>
        <v>523871</v>
      </c>
      <c r="F125" s="548">
        <f t="shared" si="5"/>
        <v>512624</v>
      </c>
      <c r="G125" s="548">
        <f t="shared" si="5"/>
        <v>501282</v>
      </c>
      <c r="H125" s="548">
        <f t="shared" si="5"/>
        <v>502081</v>
      </c>
      <c r="I125" s="548">
        <f t="shared" si="5"/>
        <v>456990</v>
      </c>
      <c r="J125" s="548">
        <f t="shared" si="5"/>
        <v>461888</v>
      </c>
      <c r="K125" s="548">
        <f t="shared" si="5"/>
        <v>473648</v>
      </c>
      <c r="L125" s="548">
        <f t="shared" si="5"/>
        <v>487020</v>
      </c>
      <c r="M125" s="548">
        <f t="shared" si="5"/>
        <v>470615</v>
      </c>
      <c r="N125" s="548">
        <f t="shared" si="5"/>
        <v>464274</v>
      </c>
      <c r="O125" s="548">
        <f t="shared" si="5"/>
        <v>453358</v>
      </c>
      <c r="P125" s="548">
        <f t="shared" si="5"/>
        <v>454890</v>
      </c>
      <c r="Q125" s="1301">
        <f t="shared" si="5"/>
        <v>459320</v>
      </c>
      <c r="R125" s="548">
        <f t="shared" si="5"/>
        <v>458927</v>
      </c>
      <c r="S125" s="548">
        <f t="shared" si="5"/>
        <v>452346</v>
      </c>
      <c r="T125" s="548">
        <f t="shared" si="5"/>
        <v>421965</v>
      </c>
      <c r="U125" s="548">
        <f t="shared" si="5"/>
        <v>411840</v>
      </c>
    </row>
    <row r="126" spans="1:24">
      <c r="B126" s="599" t="s">
        <v>121</v>
      </c>
      <c r="C126" s="581"/>
      <c r="D126" s="548">
        <f>D60</f>
        <v>136176</v>
      </c>
      <c r="E126" s="548">
        <f t="shared" ref="E126:U126" si="6">E60</f>
        <v>161555</v>
      </c>
      <c r="F126" s="548">
        <f t="shared" si="6"/>
        <v>172650</v>
      </c>
      <c r="G126" s="548">
        <f t="shared" si="6"/>
        <v>174896</v>
      </c>
      <c r="H126" s="548">
        <f t="shared" si="6"/>
        <v>172352</v>
      </c>
      <c r="I126" s="548">
        <f t="shared" si="6"/>
        <v>168805</v>
      </c>
      <c r="J126" s="548">
        <f t="shared" si="6"/>
        <v>177695</v>
      </c>
      <c r="K126" s="548">
        <f t="shared" si="6"/>
        <v>187651</v>
      </c>
      <c r="L126" s="548">
        <f t="shared" si="6"/>
        <v>203643</v>
      </c>
      <c r="M126" s="548">
        <f t="shared" si="6"/>
        <v>223311</v>
      </c>
      <c r="N126" s="548">
        <f t="shared" si="6"/>
        <v>230403</v>
      </c>
      <c r="O126" s="548">
        <f t="shared" si="6"/>
        <v>237844</v>
      </c>
      <c r="P126" s="548">
        <f t="shared" si="6"/>
        <v>233530</v>
      </c>
      <c r="Q126" s="1301">
        <f t="shared" si="6"/>
        <v>226336</v>
      </c>
      <c r="R126" s="548">
        <f t="shared" si="6"/>
        <v>231708</v>
      </c>
      <c r="S126" s="548">
        <f t="shared" si="6"/>
        <v>248133</v>
      </c>
      <c r="T126" s="548">
        <f t="shared" si="6"/>
        <v>260164</v>
      </c>
      <c r="U126" s="548">
        <f t="shared" si="6"/>
        <v>267165</v>
      </c>
    </row>
    <row r="127" spans="1:24">
      <c r="B127" s="599" t="s">
        <v>58</v>
      </c>
      <c r="C127" s="581"/>
      <c r="D127" s="548">
        <f>D78</f>
        <v>68884</v>
      </c>
      <c r="E127" s="548">
        <f t="shared" ref="E127:U127" si="7">E78</f>
        <v>97454</v>
      </c>
      <c r="F127" s="548">
        <f t="shared" si="7"/>
        <v>128787</v>
      </c>
      <c r="G127" s="548">
        <f t="shared" si="7"/>
        <v>160523</v>
      </c>
      <c r="H127" s="548">
        <f t="shared" si="7"/>
        <v>203483</v>
      </c>
      <c r="I127" s="548">
        <f t="shared" si="7"/>
        <v>240427</v>
      </c>
      <c r="J127" s="548">
        <f t="shared" si="7"/>
        <v>307260</v>
      </c>
      <c r="K127" s="548">
        <f t="shared" si="7"/>
        <v>435751</v>
      </c>
      <c r="L127" s="548">
        <f t="shared" si="7"/>
        <v>561010</v>
      </c>
      <c r="M127" s="548">
        <f t="shared" si="7"/>
        <v>733301</v>
      </c>
      <c r="N127" s="548">
        <f t="shared" si="7"/>
        <v>836058</v>
      </c>
      <c r="O127" s="548">
        <f t="shared" si="7"/>
        <v>1009594</v>
      </c>
      <c r="P127" s="548">
        <f t="shared" si="7"/>
        <v>1256740</v>
      </c>
      <c r="Q127" s="1301">
        <f t="shared" si="7"/>
        <v>1304942</v>
      </c>
      <c r="R127" s="548">
        <f t="shared" si="7"/>
        <v>1459256</v>
      </c>
      <c r="S127" s="548">
        <f t="shared" si="7"/>
        <v>1327116</v>
      </c>
      <c r="T127" s="548">
        <f t="shared" si="7"/>
        <v>1439699</v>
      </c>
      <c r="U127" s="548">
        <f t="shared" si="7"/>
        <v>1537527</v>
      </c>
    </row>
    <row r="128" spans="1:24">
      <c r="B128" s="599" t="s">
        <v>59</v>
      </c>
      <c r="C128" s="581"/>
      <c r="D128" s="548">
        <f>D96</f>
        <v>317421</v>
      </c>
      <c r="E128" s="548">
        <f t="shared" ref="E128:U128" si="8">E96</f>
        <v>360601</v>
      </c>
      <c r="F128" s="548">
        <f t="shared" si="8"/>
        <v>388937</v>
      </c>
      <c r="G128" s="548">
        <f t="shared" si="8"/>
        <v>409960</v>
      </c>
      <c r="H128" s="548">
        <f t="shared" si="8"/>
        <v>400786</v>
      </c>
      <c r="I128" s="548">
        <f t="shared" si="8"/>
        <v>365529</v>
      </c>
      <c r="J128" s="548">
        <f t="shared" si="8"/>
        <v>415086</v>
      </c>
      <c r="K128" s="548">
        <f t="shared" si="8"/>
        <v>434197</v>
      </c>
      <c r="L128" s="548">
        <f t="shared" si="8"/>
        <v>460745</v>
      </c>
      <c r="M128" s="548">
        <f t="shared" si="8"/>
        <v>487330</v>
      </c>
      <c r="N128" s="548">
        <f t="shared" si="8"/>
        <v>495956</v>
      </c>
      <c r="O128" s="548">
        <f t="shared" si="8"/>
        <v>517156</v>
      </c>
      <c r="P128" s="548">
        <f t="shared" si="8"/>
        <v>512170</v>
      </c>
      <c r="Q128" s="1301">
        <f t="shared" si="8"/>
        <v>513622</v>
      </c>
      <c r="R128" s="548">
        <f t="shared" si="8"/>
        <v>503924</v>
      </c>
      <c r="S128" s="548">
        <f t="shared" si="8"/>
        <v>509780</v>
      </c>
      <c r="T128" s="548">
        <f t="shared" si="8"/>
        <v>484825</v>
      </c>
      <c r="U128" s="548">
        <f t="shared" si="8"/>
        <v>500207</v>
      </c>
    </row>
    <row r="129" spans="2:21">
      <c r="B129" s="501" t="s">
        <v>51</v>
      </c>
      <c r="C129" s="510"/>
      <c r="D129" s="538">
        <f>D114</f>
        <v>152376</v>
      </c>
      <c r="E129" s="538">
        <f t="shared" ref="E129:U129" si="9">E114</f>
        <v>141605</v>
      </c>
      <c r="F129" s="538">
        <f t="shared" si="9"/>
        <v>160394</v>
      </c>
      <c r="G129" s="538">
        <f t="shared" si="9"/>
        <v>133600</v>
      </c>
      <c r="H129" s="538">
        <f t="shared" si="9"/>
        <v>188504</v>
      </c>
      <c r="I129" s="538">
        <f t="shared" si="9"/>
        <v>170558</v>
      </c>
      <c r="J129" s="538">
        <f t="shared" si="9"/>
        <v>163113</v>
      </c>
      <c r="K129" s="538">
        <f t="shared" si="9"/>
        <v>168437</v>
      </c>
      <c r="L129" s="538">
        <f t="shared" si="9"/>
        <v>179573</v>
      </c>
      <c r="M129" s="538">
        <f t="shared" si="9"/>
        <v>195044</v>
      </c>
      <c r="N129" s="538">
        <f t="shared" si="9"/>
        <v>192045</v>
      </c>
      <c r="O129" s="538">
        <f t="shared" si="9"/>
        <v>205108</v>
      </c>
      <c r="P129" s="538">
        <f t="shared" si="9"/>
        <v>202536</v>
      </c>
      <c r="Q129" s="1298">
        <f t="shared" si="9"/>
        <v>199886</v>
      </c>
      <c r="R129" s="538">
        <f t="shared" si="9"/>
        <v>210957</v>
      </c>
      <c r="S129" s="538">
        <f t="shared" si="9"/>
        <v>229235</v>
      </c>
      <c r="T129" s="538">
        <f t="shared" si="9"/>
        <v>237698</v>
      </c>
      <c r="U129" s="538">
        <f t="shared" si="9"/>
        <v>227117</v>
      </c>
    </row>
    <row r="130" spans="2:21">
      <c r="B130" s="515" t="s">
        <v>52</v>
      </c>
      <c r="C130" s="517"/>
      <c r="D130" s="604">
        <f>SUM(D124:D129)</f>
        <v>1507457</v>
      </c>
      <c r="E130" s="604">
        <f t="shared" ref="E130:T130" si="10">SUM(E124:E129)</f>
        <v>1627375</v>
      </c>
      <c r="F130" s="604">
        <f t="shared" si="10"/>
        <v>1725615</v>
      </c>
      <c r="G130" s="604">
        <f t="shared" si="10"/>
        <v>1750831</v>
      </c>
      <c r="H130" s="604">
        <f t="shared" si="10"/>
        <v>1847579</v>
      </c>
      <c r="I130" s="604">
        <f t="shared" si="10"/>
        <v>1762514</v>
      </c>
      <c r="J130" s="604">
        <f t="shared" si="10"/>
        <v>1907597</v>
      </c>
      <c r="K130" s="604">
        <f t="shared" si="10"/>
        <v>2118702</v>
      </c>
      <c r="L130" s="604">
        <f t="shared" si="10"/>
        <v>2323237</v>
      </c>
      <c r="M130" s="604">
        <f t="shared" si="10"/>
        <v>2549961</v>
      </c>
      <c r="N130" s="604">
        <f t="shared" si="10"/>
        <v>2665859</v>
      </c>
      <c r="O130" s="604">
        <f t="shared" si="10"/>
        <v>2862057</v>
      </c>
      <c r="P130" s="604">
        <f t="shared" si="10"/>
        <v>3112225</v>
      </c>
      <c r="Q130" s="1302">
        <f t="shared" si="10"/>
        <v>3156036</v>
      </c>
      <c r="R130" s="604">
        <f t="shared" si="10"/>
        <v>3322116</v>
      </c>
      <c r="S130" s="604">
        <f t="shared" si="10"/>
        <v>3218500</v>
      </c>
      <c r="T130" s="604">
        <f t="shared" si="10"/>
        <v>3278756</v>
      </c>
      <c r="U130" s="1168">
        <f>SUM(U124:U129)</f>
        <v>3386931</v>
      </c>
    </row>
    <row r="131" spans="2:21">
      <c r="U131" s="1086"/>
    </row>
    <row r="132" spans="2:21">
      <c r="B132" s="515" t="s">
        <v>310</v>
      </c>
      <c r="C132" s="517"/>
      <c r="D132" s="524">
        <v>2004</v>
      </c>
      <c r="E132" s="524">
        <v>2005</v>
      </c>
      <c r="F132" s="524">
        <v>2006</v>
      </c>
      <c r="G132" s="524">
        <v>2007</v>
      </c>
      <c r="H132" s="524">
        <v>2008</v>
      </c>
      <c r="I132" s="524">
        <v>2009</v>
      </c>
      <c r="J132" s="524">
        <v>2010</v>
      </c>
      <c r="K132" s="524">
        <v>2011</v>
      </c>
      <c r="L132" s="524">
        <v>2012</v>
      </c>
      <c r="M132" s="524">
        <v>2013</v>
      </c>
      <c r="N132" s="524">
        <v>2014</v>
      </c>
      <c r="O132" s="524">
        <v>2015</v>
      </c>
      <c r="P132" s="524">
        <v>2016</v>
      </c>
      <c r="Q132" s="1299">
        <v>2017</v>
      </c>
      <c r="R132" s="524">
        <v>2018</v>
      </c>
      <c r="S132" s="524">
        <v>2019</v>
      </c>
      <c r="T132" s="524">
        <v>2020</v>
      </c>
      <c r="U132" s="1187">
        <v>2021</v>
      </c>
    </row>
    <row r="133" spans="2:21">
      <c r="B133" s="497" t="s">
        <v>127</v>
      </c>
      <c r="C133" s="514"/>
      <c r="D133" s="603">
        <v>283030</v>
      </c>
      <c r="E133" s="603">
        <v>284595</v>
      </c>
      <c r="F133" s="603">
        <v>287014</v>
      </c>
      <c r="G133" s="603">
        <v>296238</v>
      </c>
      <c r="H133" s="603">
        <v>290790</v>
      </c>
      <c r="I133" s="603">
        <v>278790</v>
      </c>
      <c r="J133" s="603">
        <v>277205</v>
      </c>
      <c r="K133" s="603">
        <v>284608</v>
      </c>
      <c r="L133" s="603">
        <v>294599</v>
      </c>
      <c r="M133" s="603">
        <v>294517</v>
      </c>
      <c r="N133" s="603">
        <v>300970</v>
      </c>
      <c r="O133" s="603">
        <v>310869</v>
      </c>
      <c r="P133" s="603">
        <v>311457</v>
      </c>
      <c r="Q133" s="1300">
        <v>318573</v>
      </c>
      <c r="R133" s="603">
        <v>323274</v>
      </c>
      <c r="S133" s="603">
        <v>328278</v>
      </c>
      <c r="T133" s="603">
        <v>323708</v>
      </c>
      <c r="U133" s="1108">
        <v>327299</v>
      </c>
    </row>
    <row r="134" spans="2:21">
      <c r="B134" s="599" t="s">
        <v>56</v>
      </c>
      <c r="C134" s="581"/>
      <c r="D134" s="548">
        <v>423081</v>
      </c>
      <c r="E134" s="548">
        <v>427078</v>
      </c>
      <c r="F134" s="548">
        <v>408674</v>
      </c>
      <c r="G134" s="548">
        <v>396291</v>
      </c>
      <c r="H134" s="548">
        <v>391002</v>
      </c>
      <c r="I134" s="548">
        <v>348596</v>
      </c>
      <c r="J134" s="548">
        <v>344598</v>
      </c>
      <c r="K134" s="548">
        <v>342610</v>
      </c>
      <c r="L134" s="548">
        <v>342796</v>
      </c>
      <c r="M134" s="548">
        <v>328436</v>
      </c>
      <c r="N134" s="548">
        <v>325989</v>
      </c>
      <c r="O134" s="548">
        <v>318721</v>
      </c>
      <c r="P134" s="548">
        <v>318381</v>
      </c>
      <c r="Q134" s="1301">
        <v>318479</v>
      </c>
      <c r="R134" s="548">
        <v>313567</v>
      </c>
      <c r="S134" s="548">
        <v>307969</v>
      </c>
      <c r="T134" s="548">
        <v>288472</v>
      </c>
      <c r="U134" s="1166">
        <v>289200</v>
      </c>
    </row>
    <row r="135" spans="2:21">
      <c r="B135" s="599" t="s">
        <v>121</v>
      </c>
      <c r="C135" s="581"/>
      <c r="D135" s="548">
        <v>140115</v>
      </c>
      <c r="E135" s="548">
        <v>160921</v>
      </c>
      <c r="F135" s="548">
        <v>166189</v>
      </c>
      <c r="G135" s="548">
        <v>172469</v>
      </c>
      <c r="H135" s="548">
        <v>170632</v>
      </c>
      <c r="I135" s="548">
        <v>163523</v>
      </c>
      <c r="J135" s="548">
        <v>170101</v>
      </c>
      <c r="K135" s="548">
        <v>178924</v>
      </c>
      <c r="L135" s="548">
        <v>188915</v>
      </c>
      <c r="M135" s="548">
        <v>204589</v>
      </c>
      <c r="N135" s="548">
        <v>210292</v>
      </c>
      <c r="O135" s="548">
        <v>213694</v>
      </c>
      <c r="P135" s="548">
        <v>208830</v>
      </c>
      <c r="Q135" s="1301">
        <v>204775</v>
      </c>
      <c r="R135" s="548">
        <v>209992</v>
      </c>
      <c r="S135" s="548">
        <v>218975</v>
      </c>
      <c r="T135" s="548">
        <v>226759</v>
      </c>
      <c r="U135" s="1166">
        <v>237998</v>
      </c>
    </row>
    <row r="136" spans="2:21">
      <c r="B136" s="599" t="s">
        <v>58</v>
      </c>
      <c r="C136" s="581"/>
      <c r="D136" s="548">
        <v>130384</v>
      </c>
      <c r="E136" s="548">
        <v>173327</v>
      </c>
      <c r="F136" s="548">
        <v>210501</v>
      </c>
      <c r="G136" s="548">
        <v>245161</v>
      </c>
      <c r="H136" s="548">
        <v>289838</v>
      </c>
      <c r="I136" s="548">
        <v>314604</v>
      </c>
      <c r="J136" s="548">
        <v>391178</v>
      </c>
      <c r="K136" s="548">
        <v>526412</v>
      </c>
      <c r="L136" s="548">
        <v>652777</v>
      </c>
      <c r="M136" s="548">
        <v>825136</v>
      </c>
      <c r="N136" s="548">
        <v>928177</v>
      </c>
      <c r="O136" s="548">
        <v>1101864</v>
      </c>
      <c r="P136" s="548">
        <v>1338503</v>
      </c>
      <c r="Q136" s="1301">
        <v>1381594</v>
      </c>
      <c r="R136" s="548">
        <v>1542002</v>
      </c>
      <c r="S136" s="548">
        <v>1400661</v>
      </c>
      <c r="T136" s="548">
        <v>1497159</v>
      </c>
      <c r="U136" s="1166">
        <v>1585663</v>
      </c>
    </row>
    <row r="137" spans="2:21">
      <c r="B137" s="599" t="s">
        <v>59</v>
      </c>
      <c r="C137" s="581"/>
      <c r="D137" s="548">
        <v>356943</v>
      </c>
      <c r="E137" s="548">
        <v>390733</v>
      </c>
      <c r="F137" s="548">
        <v>425967</v>
      </c>
      <c r="G137" s="548">
        <v>456154</v>
      </c>
      <c r="H137" s="548">
        <v>456321</v>
      </c>
      <c r="I137" s="548">
        <v>456106</v>
      </c>
      <c r="J137" s="548">
        <v>490226</v>
      </c>
      <c r="K137" s="548">
        <v>503582</v>
      </c>
      <c r="L137" s="548">
        <v>542815</v>
      </c>
      <c r="M137" s="548">
        <v>571612</v>
      </c>
      <c r="N137" s="548">
        <v>578802</v>
      </c>
      <c r="O137" s="548">
        <v>589410</v>
      </c>
      <c r="P137" s="548">
        <v>605571</v>
      </c>
      <c r="Q137" s="1301">
        <v>606956</v>
      </c>
      <c r="R137" s="548">
        <v>597141</v>
      </c>
      <c r="S137" s="548">
        <v>621453</v>
      </c>
      <c r="T137" s="548">
        <v>597172</v>
      </c>
      <c r="U137" s="1166">
        <v>591473</v>
      </c>
    </row>
    <row r="138" spans="2:21">
      <c r="B138" s="501" t="s">
        <v>51</v>
      </c>
      <c r="C138" s="510"/>
      <c r="D138" s="538">
        <v>173904</v>
      </c>
      <c r="E138" s="538">
        <v>190721</v>
      </c>
      <c r="F138" s="538">
        <v>227270</v>
      </c>
      <c r="G138" s="538">
        <v>184518</v>
      </c>
      <c r="H138" s="538">
        <v>248996</v>
      </c>
      <c r="I138" s="538">
        <v>200895</v>
      </c>
      <c r="J138" s="538">
        <v>234289</v>
      </c>
      <c r="K138" s="538">
        <v>282566</v>
      </c>
      <c r="L138" s="538">
        <v>304881</v>
      </c>
      <c r="M138" s="538">
        <v>325671</v>
      </c>
      <c r="N138" s="538">
        <v>321629</v>
      </c>
      <c r="O138" s="538">
        <v>327499</v>
      </c>
      <c r="P138" s="538">
        <v>329483</v>
      </c>
      <c r="Q138" s="1298">
        <v>325659</v>
      </c>
      <c r="R138" s="538">
        <v>336140</v>
      </c>
      <c r="S138" s="538">
        <v>341164</v>
      </c>
      <c r="T138" s="538">
        <v>345486</v>
      </c>
      <c r="U138" s="1167">
        <v>355298</v>
      </c>
    </row>
    <row r="139" spans="2:21">
      <c r="B139" s="515" t="s">
        <v>52</v>
      </c>
      <c r="C139" s="517"/>
      <c r="D139" s="604">
        <f>SUM(D133:D138)</f>
        <v>1507457</v>
      </c>
      <c r="E139" s="604">
        <f t="shared" ref="E139" si="11">SUM(E133:E138)</f>
        <v>1627375</v>
      </c>
      <c r="F139" s="604">
        <f t="shared" ref="F139" si="12">SUM(F133:F138)</f>
        <v>1725615</v>
      </c>
      <c r="G139" s="604">
        <f t="shared" ref="G139" si="13">SUM(G133:G138)</f>
        <v>1750831</v>
      </c>
      <c r="H139" s="604">
        <f t="shared" ref="H139" si="14">SUM(H133:H138)</f>
        <v>1847579</v>
      </c>
      <c r="I139" s="604">
        <f t="shared" ref="I139" si="15">SUM(I133:I138)</f>
        <v>1762514</v>
      </c>
      <c r="J139" s="604">
        <f t="shared" ref="J139" si="16">SUM(J133:J138)</f>
        <v>1907597</v>
      </c>
      <c r="K139" s="604">
        <f t="shared" ref="K139" si="17">SUM(K133:K138)</f>
        <v>2118702</v>
      </c>
      <c r="L139" s="604">
        <f t="shared" ref="L139" si="18">SUM(L133:L138)</f>
        <v>2326783</v>
      </c>
      <c r="M139" s="604">
        <f t="shared" ref="M139" si="19">SUM(M133:M138)</f>
        <v>2549961</v>
      </c>
      <c r="N139" s="604">
        <f t="shared" ref="N139" si="20">SUM(N133:N138)</f>
        <v>2665859</v>
      </c>
      <c r="O139" s="604">
        <f t="shared" ref="O139" si="21">SUM(O133:O138)</f>
        <v>2862057</v>
      </c>
      <c r="P139" s="604">
        <f t="shared" ref="P139" si="22">SUM(P133:P138)</f>
        <v>3112225</v>
      </c>
      <c r="Q139" s="1302">
        <f t="shared" ref="Q139" si="23">SUM(Q133:Q138)</f>
        <v>3156036</v>
      </c>
      <c r="R139" s="604">
        <f t="shared" ref="R139" si="24">SUM(R133:R138)</f>
        <v>3322116</v>
      </c>
      <c r="S139" s="604">
        <f t="shared" ref="S139" si="25">SUM(S133:S138)</f>
        <v>3218500</v>
      </c>
      <c r="T139" s="604">
        <f t="shared" ref="T139" si="26">SUM(T133:T138)</f>
        <v>3278756</v>
      </c>
      <c r="U139" s="1168">
        <f>SUM(U133:U138)</f>
        <v>3386931</v>
      </c>
    </row>
  </sheetData>
  <hyperlinks>
    <hyperlink ref="U1" location="Content!A1" display="ToC" xr:uid="{B7415816-D95F-41CA-A5D9-807024406ABB}"/>
  </hyperlinks>
  <pageMargins left="0.7" right="0.7" top="0.75" bottom="0.75" header="0.3" footer="0.3"/>
  <pageSetup paperSize="9" orientation="portrait" r:id="rId1"/>
  <ignoredErrors>
    <ignoredError sqref="U121 U130 U139 U13" formulaRange="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3</vt:i4>
      </vt:variant>
    </vt:vector>
  </HeadingPairs>
  <TitlesOfParts>
    <vt:vector size="27" baseType="lpstr">
      <vt:lpstr>Content</vt:lpstr>
      <vt:lpstr>Ch2. Patents-in-Force</vt:lpstr>
      <vt:lpstr>Ch2. Cross filings</vt:lpstr>
      <vt:lpstr>Ch2. Budget</vt:lpstr>
      <vt:lpstr>Ch2. Staff</vt:lpstr>
      <vt:lpstr>Ch2. Production figures</vt:lpstr>
      <vt:lpstr>Ch3. Patent filings</vt:lpstr>
      <vt:lpstr>Ch3. First filings</vt:lpstr>
      <vt:lpstr>Ch3. Patent applications</vt:lpstr>
      <vt:lpstr>Ch3. Demand for patent rights</vt:lpstr>
      <vt:lpstr>Ch3. Granted patents</vt:lpstr>
      <vt:lpstr>Ch3. Patent Families</vt:lpstr>
      <vt:lpstr>Ch3. IP5 Patent Families</vt:lpstr>
      <vt:lpstr>Ch4. Patent applications filed</vt:lpstr>
      <vt:lpstr>Ch4. Applications technology</vt:lpstr>
      <vt:lpstr>Ch4. Applications leading Tech</vt:lpstr>
      <vt:lpstr>Ch4. Granted Patents</vt:lpstr>
      <vt:lpstr>Ch4. Grants technology</vt:lpstr>
      <vt:lpstr>Ch4. Grants leading Tech</vt:lpstr>
      <vt:lpstr>Ch4. Maintenance</vt:lpstr>
      <vt:lpstr>Ch4. Procedures </vt:lpstr>
      <vt:lpstr>Ch5. PCT as filing route </vt:lpstr>
      <vt:lpstr>Ch5. PCT authorities</vt:lpstr>
      <vt:lpstr>Ch.6 Other Work</vt:lpstr>
      <vt:lpstr>'Ch.6 Other Work'!Print_Area</vt:lpstr>
      <vt:lpstr>'Ch4. Maintenance'!Print_Area</vt:lpstr>
      <vt:lpstr>Content!Print_Area</vt:lpstr>
    </vt:vector>
  </TitlesOfParts>
  <Company>European Patent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Nicolas</dc:creator>
  <cp:lastModifiedBy>Bell, Jason</cp:lastModifiedBy>
  <dcterms:created xsi:type="dcterms:W3CDTF">2022-05-04T13:48:02Z</dcterms:created>
  <dcterms:modified xsi:type="dcterms:W3CDTF">2023-12-14T21:59:20Z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tcsNodeId">
    <vt:lpwstr>19860946</vt:lpwstr>
  </property>
  <property fmtid="{D5CDD505-2E9C-101B-9397-08002B2CF9AE}" pid="3" name="OtcsNodeVersionID">
    <vt:lpwstr>2</vt:lpwstr>
  </property>
</Properties>
</file>